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Załącznik Nr 1 " sheetId="1" r:id="rId1"/>
    <sheet name="Załącznik nr 2" sheetId="2" r:id="rId2"/>
    <sheet name="Załącznik nr 3" sheetId="3" r:id="rId3"/>
    <sheet name="Załącznik Nr 4" sheetId="4" r:id="rId4"/>
    <sheet name="Załącznik nr 5 " sheetId="5" r:id="rId5"/>
    <sheet name="Załącznik Nr 6" sheetId="6" r:id="rId6"/>
    <sheet name="Załącznik Nr 7" sheetId="7" r:id="rId7"/>
    <sheet name="Załącznik Nr 8" sheetId="8" r:id="rId8"/>
    <sheet name="Załącznik Nr 9" sheetId="9" r:id="rId9"/>
    <sheet name="Załącznik Nr 10" sheetId="10" r:id="rId10"/>
    <sheet name="Załącznik Nr 11" sheetId="11" r:id="rId11"/>
    <sheet name="OBJAŚNIENIA" sheetId="12" r:id="rId12"/>
    <sheet name="Projekt B-2007-I wersja" sheetId="13" r:id="rId13"/>
    <sheet name="DŁUG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123Graph_AWYKRES1" localSheetId="0" hidden="1">'Załącznik Nr 1 '!#REF!</definedName>
    <definedName name="__123Graph_AWYKRES1" localSheetId="9" hidden="1">'[3]Dochody'!#REF!</definedName>
    <definedName name="__123Graph_AWYKRES1" localSheetId="10" hidden="1">'[4]Dochody'!#REF!</definedName>
    <definedName name="__123Graph_AWYKRES1" localSheetId="1" hidden="1">'[1]Dochody'!#REF!</definedName>
    <definedName name="__123Graph_AWYKRES1" localSheetId="2" hidden="1">'[3]Dochody'!#REF!</definedName>
    <definedName name="__123Graph_AWYKRES1" localSheetId="4" hidden="1">'[3]Dochody'!#REF!</definedName>
    <definedName name="__123Graph_AWYKRES1" localSheetId="5" hidden="1">'[3]Dochody'!#REF!</definedName>
    <definedName name="__123Graph_AWYKRES1" localSheetId="6" hidden="1">'[3]Dochody'!#REF!</definedName>
    <definedName name="__123Graph_AWYKRES1" localSheetId="7" hidden="1">'[3]Dochody'!#REF!</definedName>
    <definedName name="__123Graph_AWYKRES1" localSheetId="8" hidden="1">'[3]Dochody'!#REF!</definedName>
    <definedName name="__123Graph_AWYKRES1" hidden="1">'[2]Dochody'!#REF!</definedName>
    <definedName name="beata" localSheetId="0">'[3]Dochody'!#REF!</definedName>
    <definedName name="beata" localSheetId="9">'[3]Dochody'!#REF!</definedName>
    <definedName name="beata" localSheetId="10">'[4]Dochody'!#REF!</definedName>
    <definedName name="beata" localSheetId="1">'[3]Dochody'!#REF!</definedName>
    <definedName name="beata" localSheetId="2">'[3]Dochody'!#REF!</definedName>
    <definedName name="beata" localSheetId="4">'[3]Dochody'!#REF!</definedName>
    <definedName name="beata" localSheetId="5">'[3]Dochody'!#REF!</definedName>
    <definedName name="beata" localSheetId="6">'[3]Dochody'!#REF!</definedName>
    <definedName name="beata" localSheetId="7">'[3]Dochody'!#REF!</definedName>
    <definedName name="beata" localSheetId="8">'[3]Dochody'!#REF!</definedName>
    <definedName name="beata">'[2]Dochody'!#REF!</definedName>
    <definedName name="beata_3">'[5]Dochody'!#REF!</definedName>
    <definedName name="beata_4">'[5]Dochody'!#REF!</definedName>
    <definedName name="beata_6">'[5]Dochody'!#REF!</definedName>
    <definedName name="BIUL_DOCH_" localSheetId="0">'Załącznik Nr 1 '!#REF!</definedName>
    <definedName name="BIUL_DOCH_" localSheetId="1">'[1]Dochody'!#REF!</definedName>
    <definedName name="BIUL_DOCH_">#REF!</definedName>
    <definedName name="BIUL_DOCH__3">'[5]Dochody'!#REF!</definedName>
    <definedName name="BIUL_DOCH__4">'[5]Dochody'!#REF!</definedName>
    <definedName name="BIUL_DOCH__6">'[5]Dochody'!#REF!</definedName>
    <definedName name="BIUL_DOCHODY" localSheetId="0">'Załącznik Nr 1 '!#REF!</definedName>
    <definedName name="BIUL_DOCHODY" localSheetId="1">'[3]Dochody'!#REF!</definedName>
    <definedName name="BIUL_DOCHODY">#REF!</definedName>
    <definedName name="BIUL_DOCHODY_3">'[5]Dochody'!#REF!</definedName>
    <definedName name="BIUL_DOCHODY_4">'[5]Dochody'!#REF!</definedName>
    <definedName name="BIUL_DOCHODY_6">'[5]Dochody'!#REF!</definedName>
    <definedName name="BIUL_WYD_" localSheetId="1">'Załącznik nr 2'!#REF!</definedName>
    <definedName name="BIUL_WYD_">#REF!</definedName>
    <definedName name="BIUL_WYDATKI" localSheetId="1">'Załącznik nr 2'!#REF!</definedName>
    <definedName name="BIUL_WYDATKI">#REF!</definedName>
    <definedName name="DOCHODY" localSheetId="0">'Załącznik Nr 1 '!$A$1:$D$158</definedName>
    <definedName name="DOCHODY" localSheetId="10">#REF!</definedName>
    <definedName name="DOCHODY">#REF!</definedName>
    <definedName name="DOCHODY_BEZ_TYT" localSheetId="0">'Załącznik Nr 1 '!$A$7:$D$158</definedName>
    <definedName name="DOCHODY_BEZ_TYT" localSheetId="10">#REF!</definedName>
    <definedName name="DOCHODY_BEZ_TYT">#REF!</definedName>
    <definedName name="DOCHODY_DZIAŁY" localSheetId="0">'Załącznik Nr 1 '!#REF!</definedName>
    <definedName name="DOCHODY_DZIAŁY" localSheetId="1">'[1]Dochody'!#REF!</definedName>
    <definedName name="DOCHODY_DZIAŁY">#REF!</definedName>
    <definedName name="DOCHODY_DZIAŁY_3">'[5]Dochody'!#REF!</definedName>
    <definedName name="DOCHODY_DZIAŁY_4">'[5]Dochody'!#REF!</definedName>
    <definedName name="DOCHODY_DZIAŁY_6">'[5]Dochody'!#REF!</definedName>
    <definedName name="INFORMACJA_00">#REF!</definedName>
    <definedName name="_xlnm.Print_Area" localSheetId="0">'Załącznik Nr 1 '!$A$1:$I$158</definedName>
    <definedName name="_xlnm.Print_Area" localSheetId="1">'Załącznik nr 2'!$A$1:$M$602</definedName>
    <definedName name="_xlnm.Print_Area" localSheetId="4">'Załącznik nr 5 '!$A$1:$F$30</definedName>
    <definedName name="_xlnm.Print_Area" localSheetId="6">'Załącznik Nr 7'!$A$1:$H$10</definedName>
    <definedName name="renata" localSheetId="0">'[3]Dochody'!$A$3:$D$115</definedName>
    <definedName name="renata" localSheetId="9">'[3]Dochody'!$A$3:$D$115</definedName>
    <definedName name="renata" localSheetId="10">'[4]Dochody'!$A$3:$D$115</definedName>
    <definedName name="renata" localSheetId="1">'[3]Dochody'!$A$3:$D$115</definedName>
    <definedName name="renata" localSheetId="2">'[3]Dochody'!$A$3:$D$115</definedName>
    <definedName name="renata" localSheetId="4">'[3]Dochody'!$A$3:$D$115</definedName>
    <definedName name="renata" localSheetId="5">'[3]Dochody'!$A$3:$D$115</definedName>
    <definedName name="renata" localSheetId="6">'[3]Dochody'!$A$3:$D$115</definedName>
    <definedName name="renata" localSheetId="7">'[3]Dochody'!$A$3:$D$115</definedName>
    <definedName name="renata" localSheetId="8">'[3]Dochody'!$A$3:$D$115</definedName>
    <definedName name="renata">'[2]Dochody'!$A$3:$D$115</definedName>
    <definedName name="renata_3">'[5]Dochody'!$A$3:$D$115</definedName>
    <definedName name="renata_4">'[5]Dochody'!$A$3:$D$115</definedName>
    <definedName name="renata_6">'[5]Dochody'!$A$3:$D$115</definedName>
    <definedName name="rrr" localSheetId="0">'[3]Dochody'!$A$1:$D$115</definedName>
    <definedName name="rrr" localSheetId="9">'[3]Dochody'!$A$1:$D$115</definedName>
    <definedName name="rrr" localSheetId="10">'[4]Dochody'!$A$1:$D$115</definedName>
    <definedName name="rrr" localSheetId="1">'[3]Dochody'!$A$1:$D$115</definedName>
    <definedName name="rrr" localSheetId="2">'[3]Dochody'!$A$1:$D$115</definedName>
    <definedName name="rrr" localSheetId="4">'[3]Dochody'!$A$1:$D$115</definedName>
    <definedName name="rrr" localSheetId="5">'[3]Dochody'!$A$1:$D$115</definedName>
    <definedName name="rrr" localSheetId="6">'[3]Dochody'!$A$1:$D$115</definedName>
    <definedName name="rrr" localSheetId="7">'[3]Dochody'!$A$1:$D$115</definedName>
    <definedName name="rrr" localSheetId="8">'[3]Dochody'!$A$1:$D$115</definedName>
    <definedName name="rrr">'[2]Dochody'!$A$1:$D$115</definedName>
    <definedName name="rrr_3">'[5]Dochody'!$A$1:$D$115</definedName>
    <definedName name="rrr_4">'[5]Dochody'!$A$1:$D$115</definedName>
    <definedName name="rrr_6">'[5]Dochody'!$A$1:$D$115</definedName>
    <definedName name="rrrrrr" localSheetId="0">'[3]Dochody'!#REF!</definedName>
    <definedName name="rrrrrr" localSheetId="9">'[3]Dochody'!#REF!</definedName>
    <definedName name="rrrrrr" localSheetId="10">'[4]Dochody'!#REF!</definedName>
    <definedName name="rrrrrr" localSheetId="1">'[3]Dochody'!#REF!</definedName>
    <definedName name="rrrrrr" localSheetId="2">'[3]Dochody'!#REF!</definedName>
    <definedName name="rrrrrr" localSheetId="4">'[3]Dochody'!#REF!</definedName>
    <definedName name="rrrrrr" localSheetId="5">'[3]Dochody'!#REF!</definedName>
    <definedName name="rrrrrr" localSheetId="6">'[3]Dochody'!#REF!</definedName>
    <definedName name="rrrrrr" localSheetId="7">'[3]Dochody'!#REF!</definedName>
    <definedName name="rrrrrr" localSheetId="8">'[3]Dochody'!#REF!</definedName>
    <definedName name="rrrrrr">'[2]Dochody'!#REF!</definedName>
    <definedName name="rrrrrr_3">'[5]Dochody'!#REF!</definedName>
    <definedName name="rrrrrr_4">'[5]Dochody'!#REF!</definedName>
    <definedName name="rrrrrr_6">'[5]Dochody'!#REF!</definedName>
    <definedName name="_xlnm.Print_Titles" localSheetId="13">'DŁUG'!$1:$6</definedName>
    <definedName name="_xlnm.Print_Titles" localSheetId="11">'OBJAŚNIENIA'!$1:$2</definedName>
    <definedName name="_xlnm.Print_Titles" localSheetId="12">'Projekt B-2007-I wersja'!$1:$2</definedName>
    <definedName name="_xlnm.Print_Titles" localSheetId="0">'Załącznik Nr 1 '!$1:$2</definedName>
    <definedName name="_xlnm.Print_Titles" localSheetId="10">'Załącznik Nr 11'!$3:$3</definedName>
    <definedName name="_xlnm.Print_Titles" localSheetId="1">'Załącznik nr 2'!$1:$2</definedName>
    <definedName name="_xlnm.Print_Titles" localSheetId="3">'Załącznik Nr 4'!$1:$7</definedName>
    <definedName name="_xlnm.Print_Titles" localSheetId="4">'Załącznik nr 5 '!$3:$3</definedName>
    <definedName name="WYDATKI_BEZ_TYT" localSheetId="1">'Załącznik nr 2'!$A$3:$M$602</definedName>
    <definedName name="WYDATKI_BEZ_TYT">#REF!</definedName>
    <definedName name="WYDATKI_DZIAŁY" localSheetId="1">'Załącznik nr 2'!$A$618:$M$640</definedName>
    <definedName name="WYDATKI_DZIAŁY">#REF!</definedName>
    <definedName name="WYDRUK_WYDATKI" localSheetId="1">'Załącznik nr 2'!$A$3:$M$602</definedName>
    <definedName name="WYDRUK_WYDATKI">#REF!</definedName>
  </definedNames>
  <calcPr fullCalcOnLoad="1"/>
</workbook>
</file>

<file path=xl/sharedStrings.xml><?xml version="1.0" encoding="utf-8"?>
<sst xmlns="http://schemas.openxmlformats.org/spreadsheetml/2006/main" count="3353" uniqueCount="1208">
  <si>
    <t xml:space="preserve">organizacja imprez na amfiteatrze -Rada Osiedla Samsonowicza (3.000 zł)                                              </t>
  </si>
  <si>
    <t xml:space="preserve">festyn „Powitanie lata – Razem Łatwiej” - Rada Osiedla Bobrowniki (3.000 zł)   </t>
  </si>
  <si>
    <t xml:space="preserve">organizacja imprez kulturalno-rekreacyjnych  na Osiedlu Bobrowniki-Rada Osiedla Bobrowniki  (3.000 zł)                                           </t>
  </si>
  <si>
    <t xml:space="preserve">Dofinansowanie do działalności kulturalno-oświatowej (konkursy festyny) dla Rad Osiedli :                                          </t>
  </si>
  <si>
    <t>Zakup środków ochrony indywidualnej: mydło, herbata, odzież, obuwie robocze, woda mineralna, okulary korekcyjne do pracy przy komputerze, ręczniki i inne</t>
  </si>
  <si>
    <t>Środki przeznacza się na utrzymanie administracji samorządowej; pokrywają one wydatki osobowe i rzeczowe</t>
  </si>
  <si>
    <t>WYDATKI PŁACOWE - zakłada się wzrost płac dla pracowników samorządowych w wysokości  5%</t>
  </si>
  <si>
    <t>Wpłaty na PEFRON</t>
  </si>
  <si>
    <t>Szkolenia podstawowe dla nowo przyjętych strażników, dodatkowe szkolenia dla Straży Miejskiej w Łęcznej</t>
  </si>
  <si>
    <t>Badania wstępne lekarskie dla nowo przyjętych strażników</t>
  </si>
  <si>
    <t>A. wydatki remontowo-modernizacyjne:</t>
  </si>
  <si>
    <t>wykonanie nadmurowania attyki na dachu budynku basenu</t>
  </si>
  <si>
    <t>wykonanie konstrukcji wsporczej niecki basenu</t>
  </si>
  <si>
    <t>wymiana okien w budynku dydaktycznym przy ul. Szkolnej 3(kuchnia, hole, łazienki)</t>
  </si>
  <si>
    <t>wykonanie remontu ogrodzenia posesji szkolnej przy ul. Staszica 17</t>
  </si>
  <si>
    <t>remont łazienki i wc chłopców i dzuiewczat na I piętrze budynku dydaktycznego przy ul. Szkolna 3</t>
  </si>
  <si>
    <t>wymiana głównych drzwi wejściowych do budynku szkolnego przy ul. Szkolnej 3</t>
  </si>
  <si>
    <t>wymiana drzwi wejsciowych na boisko - budynek przy ul. Szkolnej 3</t>
  </si>
  <si>
    <t>wykonanie schodów i podjazdu dla niepełnosprawnych przy wejściu do obiektu sportowego przy ul. Szkolnej 3</t>
  </si>
  <si>
    <t>wykonanie docieplenia i nowego tynku elewacji budynku szkolnego przy ul. Szkolnej 3</t>
  </si>
  <si>
    <t>wymiana terakoty na holu I piętra w rejonie biblioteki sal lekcyjnych</t>
  </si>
  <si>
    <t>wykonać remont dachu na budynku administracji</t>
  </si>
  <si>
    <t>dokonac sukcesywnej wymiany stolarki okiennej budynku nauczania zintegrowanego przy ul. Staszica 17</t>
  </si>
  <si>
    <t>Urząd Miejski w Łęcznej</t>
  </si>
  <si>
    <t>Pozostała działalność</t>
  </si>
  <si>
    <t>TRANSPORT I ŁĄCZNOŚĆ</t>
  </si>
  <si>
    <t>Drogi publiczne gminne</t>
  </si>
  <si>
    <t>Dieta Przewodniczącego Rady Miejskiej</t>
  </si>
  <si>
    <t>wysokość minimalnego wynagrodzenia za pracę w 2007 roku została ustalona w wysokości 936 zł.</t>
  </si>
  <si>
    <t>200% min.wynagr. x 12 m-cy = 1.872 zł. x 12 = 22.464 zł.</t>
  </si>
  <si>
    <t>Diety radnych - ryczałt</t>
  </si>
  <si>
    <t>Wiceprzewodniczący Rady:</t>
  </si>
  <si>
    <t>Szkoła Podstawowa w Ciechankach Łęczyńskich</t>
  </si>
  <si>
    <t>Szkoła Podstawowa w Zofiówce</t>
  </si>
  <si>
    <t>Opłaty roczne za wyłączenie gruntów z produkcji rolnej.</t>
  </si>
  <si>
    <t>POMOC SPOŁECZNA</t>
  </si>
  <si>
    <t>OCHRONA ZDROWIA</t>
  </si>
  <si>
    <t>Dofinansowanie Punktu Konsultacyjno Informacyjnego dla Osób Uzależnionych ze szczególnym uwzględnieniem osób uzależnionych od alkoholu i narkotyków – pomoc finansowa dla Powiatu Łęczyńskiego</t>
  </si>
  <si>
    <t>Prace komisji</t>
  </si>
  <si>
    <t>Prace biegłego – wydawanie opinii</t>
  </si>
  <si>
    <t>Zakup specjalistycznej literatury, czasopism, materiałów, kaset do realizacji programów profilaktycznych</t>
  </si>
  <si>
    <t>Organizacja konkursu „Jestem bezpieczny”</t>
  </si>
  <si>
    <t>Organizacja wypoczynku letniego dla dzieci i młodzieży</t>
  </si>
  <si>
    <t>Gimnazja</t>
  </si>
  <si>
    <t>Zespół Szkół Ogólnokształcących Nr 1 w Łęcznej</t>
  </si>
  <si>
    <t>Budowa nowych i remont przystanków autobusowych na terenie gminy Łęczna</t>
  </si>
  <si>
    <t>Modernizacja chodników na terenie miasta Łęczna w technologii kostki brukowej lub płyt betonowych na ulicach miejskich ( wydatek inwestycyjny )</t>
  </si>
  <si>
    <t>Rozbudowa sieci drogowej łączącej drogę krajową nr 82 z drogą wojewódzką nr 829 - WPI - wykup działek pod drogę</t>
  </si>
  <si>
    <t>zakupy związane z promocją (zakup materiałów promocyjnych związanych z jubileuszem 540-lecia miasta Łęczna, puchary, nagrody, publikacje, ogłoszenia promocyjne, papier firmowy)</t>
  </si>
  <si>
    <t>usługi związane z promocją (rozbudowa strony internetowej)</t>
  </si>
  <si>
    <t>Stan zatrudnienia na dzień 31.10.2006 roku wynosi 4 osoby; planowane jest zatrudnienie dodatkowych 3 osób. Wynagrodzenia dla 7 osób wynoszą 163.032 zł.</t>
  </si>
  <si>
    <t xml:space="preserve">Fundusz nagród - 3 %  wynosi 4.768 zł </t>
  </si>
  <si>
    <t>Razem roczne wynagrodzenia pracowników wynoszą 167.800 zł</t>
  </si>
  <si>
    <t>Składki ZUS i Fundusz Pracy - 19,64 % od wynagrodzeń i od tzw. "13" wynosi  34.158 zł</t>
  </si>
  <si>
    <t>Odpis na ZFŚS (wg stanu przec. wynagr.2.099,14 zł) dla zatrudnionych osób wynosi 5.510 zł</t>
  </si>
  <si>
    <t>Zakup masy asfaltowej na zimno do awryjnego usuwania przełomów na drogach gminnych</t>
  </si>
  <si>
    <t xml:space="preserve">Wprowadzenie stałej organizacji ruchu na podstawie projektu organizacji ruchu wykonanej w 2005r. oraz wykonanie oznakowania poziomowego dróg gminnych </t>
  </si>
  <si>
    <t xml:space="preserve">Modernizacja ul. Armii Krajowej wraz z budową nowych miejsc parkingowych </t>
  </si>
  <si>
    <t xml:space="preserve">Przebudowa ul. Akacjowej, Leśnej, Nadwieprzańskiej </t>
  </si>
  <si>
    <t>wydatki rzeczowe związane ze współpracą z miastami partnerskimi - 15.000 zł</t>
  </si>
  <si>
    <t>usługi związane ze współpracą z miastami partnerskimi (wyżywienie, przejazdy) - 9.000 zł</t>
  </si>
  <si>
    <t>umowy zlecenia i o dzieło - 10.000 zł</t>
  </si>
  <si>
    <t>tłumaczenia dokumentów - 1.000 zł</t>
  </si>
  <si>
    <t>Zakup materiałów niezbędnych do renowacji elewacji budynku, wymiana rynien – OSP Nowogród</t>
  </si>
  <si>
    <t>Zakup usług remontowych-pozostałe</t>
  </si>
  <si>
    <t>Wymiana okien w strażnicy OSP Nowogród</t>
  </si>
  <si>
    <t>Zakup paliwa</t>
  </si>
  <si>
    <t>Zakup części zamiennych</t>
  </si>
  <si>
    <t>Przeglądy techniczne pojazdów</t>
  </si>
  <si>
    <t>UMOWY ZLECENIA DLA KIEROWCÓW</t>
  </si>
  <si>
    <t>Remont strażnicy – OSP Łuszczów Kolonia</t>
  </si>
  <si>
    <t>Zakończenie budowy garażu – OSP Łuszczów Kolonia</t>
  </si>
  <si>
    <t>Remont budynku strażnicy – OSP Ciechanki Krzesimowskie</t>
  </si>
  <si>
    <t xml:space="preserve">Zakup węży, butów gumowych – OSP Zakrzów  </t>
  </si>
  <si>
    <t xml:space="preserve"> - zakup (m.in.meble, raportówki, publikacje, pieczątki, notesy służbowe, dyktafon cyfrowy, tablice informacyjne, radiostacje, pneumatyczny aplikator leków, latarki, blokady, broń, straszaki, szafka metalowa) - 20.000 zł</t>
  </si>
  <si>
    <t xml:space="preserve"> - sorty mundurowe  (4 + 4) = 25.000 zł</t>
  </si>
  <si>
    <t>Konserwacja sprzętu OC</t>
  </si>
  <si>
    <t>Zakończenie budowy ogrodzenia  Szkoły Podstawowej Nr 4 w Łęcznej</t>
  </si>
  <si>
    <t>Składki na ubezpieczenie zdrowotne opłacane za osoby pobierające niektóre świadczenia z pomocy społecznej oraz niektóre świadczenia rodzinne</t>
  </si>
  <si>
    <t>Dotacja na zadania zlecone  z Lubelskiego Urzędu Wojewódzkiego w Lublinie dla Miejskiego Ośrodka Pomocy Społecznej w Łęcznej na odprowadzenie składek do ZUS</t>
  </si>
  <si>
    <t>85214</t>
  </si>
  <si>
    <t>Zasiłki i pomoc w naturze oraz składki na ubezpieczenia emerytalne i rentowe</t>
  </si>
  <si>
    <t>Dotacja na zadania zlecone  z Lubelskiego Urzędu Wojewódzkiego w Lublinie dla Miejskiego Ośrodka Pomocy Społecznej w Łęcznej na zasiłki dla osób uprawnionych</t>
  </si>
  <si>
    <t xml:space="preserve">Dotacja na zadania własne z Lubelskiego Urzędu Wojewódzkiego dla Miejskiego Ośrodka Pomocy Społecznej w Łęcznej </t>
  </si>
  <si>
    <t xml:space="preserve">Środki samorządowe  dla Miejskiego Ośrodka Pomocy Społecznej w Łęcznej na wypłatę zasiłków </t>
  </si>
  <si>
    <t>Dodatki mieszkaniowe</t>
  </si>
  <si>
    <t xml:space="preserve">Środki samorządowe na wypłatę dodatków mieszkaniowych </t>
  </si>
  <si>
    <t>85219</t>
  </si>
  <si>
    <t>Ośrodki pomocy społecznej</t>
  </si>
  <si>
    <t xml:space="preserve">Dotacja na zadania własne z Lubelskiego Urzędu Wojewódzkiego w Lublinie na pokrycie kosztów funkcjonowania Miejskiego Ośrodka Pomocy Społecznej w Łęcznej </t>
  </si>
  <si>
    <t>Środki samorządowe na pokrycie kosztów funkcjonowania Miejskiego Ośrodka Pomocy Społecznej w Łęcznej</t>
  </si>
  <si>
    <t>A. wydatki inwestycyjne i remontowe</t>
  </si>
  <si>
    <t>EDUKACYJNA OPIEKA WYCHOWAWCZA</t>
  </si>
  <si>
    <t>85401</t>
  </si>
  <si>
    <t xml:space="preserve">Świetlice szkolne </t>
  </si>
  <si>
    <t>85415</t>
  </si>
  <si>
    <t>Pomoc materialna dla uczniów</t>
  </si>
  <si>
    <t>Gospodarka ściekowa i ochrona wód</t>
  </si>
  <si>
    <t>Realizacja programu profilaktycznego ,,Lekkoatletyczne czwartki'' Zadanie realizowane przez Zespół Szkół Nr1 Łęcznej</t>
  </si>
  <si>
    <t>Energia elektryczna, opłata za gaz, wodę</t>
  </si>
  <si>
    <t xml:space="preserve">Dotacja dla Centrum Kultury – podstawowa </t>
  </si>
  <si>
    <t>Dotacja dla Miejsko-Gminnej Biblioteki Publicznej w Łęcznej</t>
  </si>
  <si>
    <t>Oświetlenie ulic, placów i dróg</t>
  </si>
  <si>
    <t>Wyłapywanie bezpańskich zwierząt, zlecanie obserwacji przez lekarzy weterynarii</t>
  </si>
  <si>
    <t>Remont amfiteatru plus zakup energii elektrycznej</t>
  </si>
  <si>
    <t>Organizacja terenów rekreacyjnych, boisk sportowych, placów zabaw na obszarze miasta</t>
  </si>
  <si>
    <t>KULTURA I OCHRONA DZIEDZICTWA NARODOWEGO</t>
  </si>
  <si>
    <t xml:space="preserve">Fundusz nagród - 3 %  wynosi 69.680 zł </t>
  </si>
  <si>
    <t xml:space="preserve">Nagrody jubileuszowe (6 osób) - 25.000 zł </t>
  </si>
  <si>
    <t>Odprawy emerytalne (5 osoby) - 92.000 zł</t>
  </si>
  <si>
    <t>Zakładowy Fundusz Nagród (tzw. "13") - 8,5 % od należnych wynagrodzeń dla pracowników  wynosi  177.669 odjąć             zł, tj. kwotę zabezpieczoną przez UW =                 zł</t>
  </si>
  <si>
    <t>Składki ZUS i Fundusz Pracy - 19,68 % od wynagrodzeń     i od tzw. "13" wynosi 504.753 zł odjąć kwotę              zł,        tj. kwotę zabezpieczoną przez UW Lublin =               zł</t>
  </si>
  <si>
    <t>Szacunki nieruchomości (działek do sprzedaży oraz wycena wartości działek do aktualizacji opłat za użytkowanie wieczyste)</t>
  </si>
  <si>
    <t>Drobne prace geodezyjne (podziały  nieruchomości, wznowienie granic, wypisy i wyrysy z ewidencji gruntów)</t>
  </si>
  <si>
    <t>Odszkodowania za grunty przejęte na własność Gminy w wyniku  scalenia i podziału gruntów na os.Samsonowicza</t>
  </si>
  <si>
    <t>Urzędy gmin (miast i miast na prawach powiatu)</t>
  </si>
  <si>
    <t>Obsługa bankowa budżetu</t>
  </si>
  <si>
    <t>Szkolenia pracowników</t>
  </si>
  <si>
    <t>Badania lekarskie pracowników</t>
  </si>
  <si>
    <t>Podróże służbowe pracowników samorządowych i pracowników administracji rządowej, ryczałty samochodowe pracowników</t>
  </si>
  <si>
    <t>konserwacja, serwis posiadanego oprogramowania, nadzór eksploatacyjny, abonament BIP - 30.000 zł</t>
  </si>
  <si>
    <t>B</t>
  </si>
  <si>
    <t>Biblioteki</t>
  </si>
  <si>
    <t xml:space="preserve"> KULTURA FIZYCZNA I SPORT</t>
  </si>
  <si>
    <t>O G Ó Ł E M    W Y D A T K I</t>
  </si>
  <si>
    <t>ROZCHODY</t>
  </si>
  <si>
    <t xml:space="preserve">Pożyczka z Wojewódzkiego Funduszu Ochrony Środowiska i Gospodarki Wodnej - z przeznaczeniem na kanalizację sanitarną Łęcznej III etap </t>
  </si>
  <si>
    <t xml:space="preserve">Pożyczka z Wojewódzkiego Funduszu Ochrony Środowiska i Gospodarki Wodnej - z przeznaczeniem na kanalizację sanitarną miasta Łęcznej II etap </t>
  </si>
  <si>
    <t xml:space="preserve">       </t>
  </si>
  <si>
    <t xml:space="preserve">Pożyczka z Narodowego Funduszu Ochrony Środowiska i Gospodarki Wodnej - z przeznaczeniem na kanalizację sanitarną dla miasta Łęczna </t>
  </si>
  <si>
    <t xml:space="preserve">Kredyt z Banku Polskiej Spółdzielczości S.A - z przeznaczeniem na budowę schroniska socjalnego </t>
  </si>
  <si>
    <t>Przebudowa drogi gminnej nr 2211018 i drogi gminnej nr 2211017 w Trębaczowie</t>
  </si>
  <si>
    <t>Budowa ulicy 05 KZ w Łęcznej - II etap wraz z remontem ulic łączących drogę krajową nr 82 z drogą wojewódzką nr 820 - WPI</t>
  </si>
  <si>
    <t>Rozbudowa sieci drogowej łączącej drogę krajową nr 82 z drogą wojewódzką nr 820 - WPI</t>
  </si>
  <si>
    <t>Budowa ulic równoległych do ulicy Krasnystawskiej w Łęcznej - WPI</t>
  </si>
  <si>
    <t>Rewaloryzacja Starego Miasta i uporządkowanie  ul. Rynek II w Łęcznej - WPI</t>
  </si>
  <si>
    <t>Budowa parkingu miejskiego i drogi dojazdowej do kościoła św. Barbary przy ul. 07KZ.</t>
  </si>
  <si>
    <t>Budowa budynku socjalnego</t>
  </si>
  <si>
    <t>Budowa cmentarza komunalnego - WPI</t>
  </si>
  <si>
    <t>Wykonanie projektu na nadbudowę budynku oraz wymianę pokrycia dachowego Urzędu Miejskiego - Plac Kościuszki 5</t>
  </si>
  <si>
    <t>Docieplenie i odnowienie elewacji, wymiana okien oraz docieplenie stropodachu w budynku Urzędu Miejskiego - Plac Kościuszki 22 )</t>
  </si>
  <si>
    <t>Kanalizacja sanitarna grawitacyjno-ciśnieniowa wsi Podzamcze i Stara Wieś - WPI</t>
  </si>
  <si>
    <t>- wykonanie oświetlenia awaryjno- ewakuacyjnego na drogach komunikacji służącego celom ewakuacji w przedszkolu</t>
  </si>
  <si>
    <t>- wymiana stolarki okiennej z montażem i demontażem w salach lekcyjnych i na korytarzu w części parterowej budynku - 35.000 zł</t>
  </si>
  <si>
    <r>
      <t>- wymiana podłóg w salach lekcyjnych na parterze na powierzchni około 120 m</t>
    </r>
    <r>
      <rPr>
        <i/>
        <vertAlign val="superscript"/>
        <sz val="18"/>
        <rFont val="Times New Roman"/>
        <family val="1"/>
      </rPr>
      <t xml:space="preserve">2 </t>
    </r>
    <r>
      <rPr>
        <i/>
        <sz val="18"/>
        <rFont val="Times New Roman"/>
        <family val="1"/>
      </rPr>
      <t>- 10.000 zł</t>
    </r>
  </si>
  <si>
    <t>- ocieplenie budynku, naprawa spękanych ścian, malowanie budynku z zewnątrz - 37.000 zł</t>
  </si>
  <si>
    <t>- drobne remonty i naprawy - 2.000 zł</t>
  </si>
  <si>
    <t>- opracowanie dokumentacji na wymianę instalacji elektrycznej w budynku szkoły oraz wymiana instalacji elektrycznej - I etap - 85.000 zł</t>
  </si>
  <si>
    <t>- wykonanie podajzdu dla osób niepełnosprawnych do budynku szkoły - 50.000 zł</t>
  </si>
  <si>
    <t>- wymiana okien w segmencie C budynku szkoły - 20.000 zł</t>
  </si>
  <si>
    <t>- środki na wynagrodzenia i pochodne - 470.000 zł</t>
  </si>
  <si>
    <t xml:space="preserve">Dofinansowanie Punktu Konsultacyjno Informacyjnego dla Osób Uzależnionych ze szczególnym uwzględnieniem osób uzależnionych od alkoholu i narkotyków </t>
  </si>
  <si>
    <t>II rata - do 30.VI.2007 - 350.000 zł</t>
  </si>
  <si>
    <t>III rata - do 30.IX.2007 - 350.000 zł</t>
  </si>
  <si>
    <t>IV rata - do 31.XII.2007 - 350.000 zł</t>
  </si>
  <si>
    <t>Środki na wypłatę odszkodowań za pozbawienie użytkowania gruntów (Stara Wieś - kolektor S - 5)</t>
  </si>
  <si>
    <t>A. wydatki osobowe</t>
  </si>
  <si>
    <t>B. Składki do ZUS, FP, FGŚP</t>
  </si>
  <si>
    <t xml:space="preserve">C. wydatki remontowe: </t>
  </si>
  <si>
    <t>A. wydatki osobowe - 371.375 zł</t>
  </si>
  <si>
    <t>B. Składki do ZUS, FP, FGŚP - 74.238 zł</t>
  </si>
  <si>
    <t>- remont Filii Nr 3 przy ul. Jasminowej 4 - zabudowa rur znajdujących się w korytarzu przy suficie - 2.000 zł</t>
  </si>
  <si>
    <t>- remont i malowanie dachu w siedzibie głównej MGBP w Łęcznej - 5.000 zł</t>
  </si>
  <si>
    <t>Przebudowa drogi gminnej nr 105190L i drogi gminnej nr 105191L w Trębaczowie</t>
  </si>
  <si>
    <t>851,85154, p.2820</t>
  </si>
  <si>
    <t>851, 85154, p.2820</t>
  </si>
  <si>
    <t>Organizacja na terenie gminy Łęczna  cyklu otwartych imprez integracyjnych dla osób dorosłych; ogranizacja konkursu literackiego "Niepełnosprawność w moich oczach"</t>
  </si>
  <si>
    <t>Organizacja na terenie gminy Łęczna  cyklu otwartych imprez integracyjnych dla osób dorosłych; organizacja warsztatów teatralnych z udziałem osób niepełnosprawnych</t>
  </si>
  <si>
    <t>Organizacja na terenie gminy Łęczna  cyklu otwartych imprez integracyjnych dla osób dorosłych; spotkania integracyjne dla osób starszych, zapobieganie wykluczeniu społecznemu osób starszych, samotnych, niesprawnych ruchowo</t>
  </si>
  <si>
    <t>Organizacja na terenie gminy Łęczna  cyklu otwartych imprez integracyjnych dla osób dorosłych; spotkania literackie - warsztaty poetyckie z udziałem krytyków literackich i nauczycieli</t>
  </si>
  <si>
    <t>Organizacja na terenie gminy Łęczna  cyklu otwartych imprez integracyjnych dla osób dorosłych; plener malarski z udziałem artystów z zagranicy połączony z warsztatami i wystawą prac poplenerowych</t>
  </si>
  <si>
    <t>Źródło dochodów</t>
  </si>
  <si>
    <t>Przewidywane wykonanie</t>
  </si>
  <si>
    <t>P L A N</t>
  </si>
  <si>
    <t>Rozdział</t>
  </si>
  <si>
    <t xml:space="preserve"> za 2006 rok</t>
  </si>
  <si>
    <t>2007 rok</t>
  </si>
  <si>
    <t>dochody związane z realizacją zadań adm. rządowej i innych zadań zleconych ustawami</t>
  </si>
  <si>
    <t>dochody zwiazane z realizacją zadań wspólnych z innymi jednostkami sam. terytorialnego</t>
  </si>
  <si>
    <t>Wpływy z opłat za zajęcie pasa drogowego</t>
  </si>
  <si>
    <t>0690</t>
  </si>
  <si>
    <t>Wpływy z tytułu najmu lokali użytkowych w budynkach komunalnych</t>
  </si>
  <si>
    <t>0750</t>
  </si>
  <si>
    <t>0770</t>
  </si>
  <si>
    <t>Wpływy z dzierżawy działek</t>
  </si>
  <si>
    <t xml:space="preserve">wieczyste użytkowanie gruntów </t>
  </si>
  <si>
    <t>0470</t>
  </si>
  <si>
    <t>- wydatki na obudowanie i zamknięcie drzwiami oraz wyposażenie w urządzenia zapobiegające zadymieniu lub służące do usuwania dymu dwóch klatek schodowych</t>
  </si>
  <si>
    <t>- SzP w Zofiówce - 5 zł</t>
  </si>
  <si>
    <t>- SzP w Zofiówce - 2.400 zł</t>
  </si>
  <si>
    <t>Darowizny na rzecz szkoły</t>
  </si>
  <si>
    <t>- SzP Nr 4 - 400 zł</t>
  </si>
  <si>
    <t>- SzP Nr 4 - 515 zł</t>
  </si>
  <si>
    <t>- SzP Nr 4 - 1.245 zł</t>
  </si>
  <si>
    <t>RÓŻNICA</t>
  </si>
  <si>
    <t>zakup nowych zestawów komputerowych, drukarek - 20.000 zł</t>
  </si>
  <si>
    <t>ogrzewanie budynków (zakup energii cieplnej, gaz) - 40 .000 zł</t>
  </si>
  <si>
    <t>energia elektryczna - 30 .000 zł</t>
  </si>
  <si>
    <t>artykuły gospodarcze (świetlówki, żarówki, zamki, kłódki, czajniki), elektryczne, hydrauliczne, malarskie (m.in. na odnowienie sali konferencyjnej, budynku USC sposobem gospodarskim), środki czystości i in.  - 40.000 zł</t>
  </si>
  <si>
    <t>meble, firany, wykładziny, dywany - 10.000 zł</t>
  </si>
  <si>
    <t>woda - 5.000 zł</t>
  </si>
  <si>
    <t>przeglądy kominów i instalacji gazowej i elektrycznej, przeglądy gaśnic, systemu alarmowego - 2.200 zł</t>
  </si>
  <si>
    <t>- zakup stolików i krzesełek do sal lekcyjnych - 6.000 zł</t>
  </si>
  <si>
    <t xml:space="preserve">wpływy ze sprzedaży nieruchomości </t>
  </si>
  <si>
    <t>0870</t>
  </si>
  <si>
    <t>Planowana jest sprzedaż następujących działek:</t>
  </si>
  <si>
    <t xml:space="preserve">działka nr 3179 przy ul. Granicznej </t>
  </si>
  <si>
    <t>Dopłaty właścicieli gruntów objętych scaleniem i podziałem z tytułu różnicy z przyznanej powierzchni gruntu</t>
  </si>
  <si>
    <t>Odsetki za nieterminowe płatności</t>
  </si>
  <si>
    <t>0920</t>
  </si>
  <si>
    <t>Dotacja na realizację przez UM w Łęcznej zadań zleconych z zakresu administracji rządowej - środki z Lubelskiego Urzędu Wojewódzkiego w Lublinie</t>
  </si>
  <si>
    <t>Do planu wprowadzono kwotę zgodnie z pismem LUW Nr FB.I. 3010/6-57/06 z dnia 23.X.2006 roku.</t>
  </si>
  <si>
    <t>Dochody jednostek samorządu terytorialnego związane z realizacją zadań z zakresu administracji rządowej oraz innych zadań zleconych ustawami -5% od wpłat za dowody osobiste i dane adresowe</t>
  </si>
  <si>
    <t>Wpływy z tytułu wynajmu pomieszczeń Urzędu Miejskiego w Łęcznej</t>
  </si>
  <si>
    <t>Wpływy z tytułu dzierżawy składników majątkowych po zlikwidowanym SP MZOZ.</t>
  </si>
  <si>
    <t>URZĘDY NACZELNYCH ORGANÓW WŁADZY PAŃSTWOWEJ, KONTROLI I OCHRONY PRAWA ORAZ SĄDOWNICTWA</t>
  </si>
  <si>
    <t>Urzędy naczelnych organów władzy państwowej, kontroli i ochrony prawa</t>
  </si>
  <si>
    <t>Dotacja z Krajowego Biura Wyborczego na prowadzenie i aktualizację stałego rejestru wyborców</t>
  </si>
  <si>
    <t>Dotacja na zadania zlecone z zakresu administracji rządowej z Lubelskiego Urzędu Wojewódzkiego w Lublinie na obronę cywilną</t>
  </si>
  <si>
    <t>DOCHODY OD OSÓB PRAWNYCH,OD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</si>
  <si>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</si>
  <si>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</si>
  <si>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>0350</t>
  </si>
  <si>
    <t>75615</t>
  </si>
  <si>
    <t>Wpływy z podatku rolnego, podatku leśnego, podatku od czynności cywilnoprawnych, podatków i opłat lokalnych od osób prawnych i innych jednostek organizacyjnych</t>
  </si>
  <si>
    <t xml:space="preserve">Podatek od nieruchomości </t>
  </si>
  <si>
    <t>0310</t>
  </si>
  <si>
    <t xml:space="preserve">Podatek rolny </t>
  </si>
  <si>
    <t>0320</t>
  </si>
  <si>
    <t>Podatek leśny</t>
  </si>
  <si>
    <t>0330</t>
  </si>
  <si>
    <t>Podatek od środków transportowych</t>
  </si>
  <si>
    <t>0340</t>
  </si>
  <si>
    <t>Podatek od czynności cywilno- prawnych</t>
  </si>
  <si>
    <t>0500</t>
  </si>
  <si>
    <t>Wpływy z podatku rolnego, podatku leśnego, podatku od spadków i darowizn, podatku od czynności cywilnoprawnych oraz podatków i opłat lokalnych od osób fizycznych</t>
  </si>
  <si>
    <t>Podatek od spadków i darowizn</t>
  </si>
  <si>
    <t>0360</t>
  </si>
  <si>
    <t>Podatek od posiadania psów</t>
  </si>
  <si>
    <t>0370</t>
  </si>
  <si>
    <t>Wpływy z opłaty targowej</t>
  </si>
  <si>
    <t>0430</t>
  </si>
  <si>
    <t>Wpływy z opłaty administracyjnej za czynności urzędowe</t>
  </si>
  <si>
    <t>0450</t>
  </si>
  <si>
    <t>Modernizacja chodników na terenie miasta Łęczna w technologii kostki brukowej lub płyt betonowych na ulicach miejskich (wydatek inwestycyjny )</t>
  </si>
  <si>
    <t>Zakup masy asfaltowej na zimno do awaryjnego usuwania przełomów na drogach gminnych</t>
  </si>
  <si>
    <t xml:space="preserve">Wprowadzenie stałej organizacji ruchu na podstawie projektu organizacji ruchu wykonanej w 2005 roku oraz wykonanie oznakowania poziomowego dróg gminnych </t>
  </si>
  <si>
    <t>Wykup nieruchomości na zasoby komunalne</t>
  </si>
  <si>
    <t>Stan zatrudnienia na dzień 31.10.2006 roku wynosi 72 osoby, 3 osoby na urlopie bezpłatnym- 47 pracowników samorządowych, 8 pracowników adm. zleconej, 14 prac.obsługi. Planowane jest zatrudnienie audytora, inżyniera drogowca, pracownika do referatu PGM. Roczne płace tych osób wynoszą  2.322.682 zł</t>
  </si>
  <si>
    <t>Razem roczne wynagrodzenia pracowników wynoszą 2.509.362 złotych odjąć wynagrodzenia administracji rządowej 115.365 zł, pozostaje 2.393.997 zł.</t>
  </si>
  <si>
    <t>Zakładowy Fundusz Nagród (tzw. "13") - 8,5 % od należnych wynagrodzeń dla pracowników wynosi 177.669 zł odjąć 15.177 zł, tj. kwotę zabezpieczoną przez LUW = 162.492 zł.</t>
  </si>
  <si>
    <t>Składki ZUS i Fundusz Pracy - 19,64 % od wynagrodzeń i od tzw. "13" wynosi 527.733 zł odjąć kwotę 25.353 zł, tj. kwotę zabezpieczoną przez LUW Lublin = 502.380 zł.</t>
  </si>
  <si>
    <t>Odpis na Zakładowy Fundusz Świadczeń Socjalnych (wg stanu przec. wynagr.2.099,14 zł) dla zatrudnionych osób wynosi 59.034 zł odjąć kwotę 6.160 zł, tj. kwotę zabezpieczoną przez LUW Lublin = 52.874 zł.</t>
  </si>
  <si>
    <t>Wpłaty na PFRON</t>
  </si>
  <si>
    <t>Odsetki od nieterminowych wpłat podatków i opłat</t>
  </si>
  <si>
    <t>0910</t>
  </si>
  <si>
    <t>Wpływy z innych opłat stanowiących dochody jst na podstawie ustaw</t>
  </si>
  <si>
    <t xml:space="preserve">Opłata skarbowa - wpływy </t>
  </si>
  <si>
    <t>0410</t>
  </si>
  <si>
    <t>Opłata za wydawanie zezwoleń na sprzedaż napojów alkoholowych</t>
  </si>
  <si>
    <t>0480</t>
  </si>
  <si>
    <t>Wpływy z opłaty stałej za wpis do ewidencji działalności gospodarczej bądź zmianę w ewidencji</t>
  </si>
  <si>
    <t>Udziały gmin w podatkach stanowiących dochód budżetu państwa</t>
  </si>
  <si>
    <t>Podatek dochodowy od osób fizycznych</t>
  </si>
  <si>
    <t>0010</t>
  </si>
  <si>
    <t>Podatek dochodowy od osób prawnych</t>
  </si>
  <si>
    <t>0020</t>
  </si>
  <si>
    <t>Część oświatowa subwencji ogólnej dla jst</t>
  </si>
  <si>
    <t>Subwencja oświatowa</t>
  </si>
  <si>
    <t>2920</t>
  </si>
  <si>
    <t>Część wyrównawcza subwencji ogólnej dla gmin</t>
  </si>
  <si>
    <t>Subwencja wyrównawcza</t>
  </si>
  <si>
    <t>Różne rozliczenia finansowe</t>
  </si>
  <si>
    <t>Odsetki na rachunku bieżącym</t>
  </si>
  <si>
    <t>Część równoważąca subwencji ogólnej dla gmin</t>
  </si>
  <si>
    <t>Subwencja równoważąca</t>
  </si>
  <si>
    <t>Dochody z wynajmu pomieszczeń w szkołach oraz dzierżawy składników majątkowych</t>
  </si>
  <si>
    <t>- SzP Nr 4 - 30.000 zł</t>
  </si>
  <si>
    <t>- Sz p w Zofiówce - 2.400 zł</t>
  </si>
  <si>
    <t>Wpływy z usług świadczonych przez szkoły</t>
  </si>
  <si>
    <t>0830</t>
  </si>
  <si>
    <t>Odsetki od środków na rachunku bankowym</t>
  </si>
  <si>
    <t>- SzP Nr 4 - 600 zł</t>
  </si>
  <si>
    <t>Wpływy z innych dochodów</t>
  </si>
  <si>
    <t>0970</t>
  </si>
  <si>
    <t>Pozostałe odsetki</t>
  </si>
  <si>
    <t>Darowizny na rzecz szkół</t>
  </si>
  <si>
    <t>0960</t>
  </si>
  <si>
    <t>Dotacja na zadania zlecone z zakresu administracji rządowej z Lubelskiego Urzędu Wojewódzkiegob dla Środowiskowego Domu Samopomocy w Łęcznej</t>
  </si>
  <si>
    <t>Dochody jednostek samorządu terytorialnego związane z realizacją zadań z zakresu administracji rządowej oraz innych zadań zleconych ustawami -5% od wpłat uczestników ŚDS</t>
  </si>
  <si>
    <t>Świadczenia rodzinne oraz składki na ubezpieczenia emerytalne i rentowe z ubezpieczenia społecznego</t>
  </si>
  <si>
    <t>Dotacja na zadania zlecone z zakresu administracji rządowej z Lubelskiego Urzędu Wojewódzkiego dla Miejskiego Ośrodka Pomocy Społecznej w Łęcznej</t>
  </si>
  <si>
    <t>Dochody jednostek samorządu terytorialnego związane z realizacją zadań z zakresu administracji rządowej oraz innych zadań zleconych ustawami -50% wyegzekwowanych alimentów przez komornika</t>
  </si>
  <si>
    <t>Składki na ubezpieczenie zdrowotne opłacane za osoby pobierające niektóre świadczenia z pomocy społecznej</t>
  </si>
  <si>
    <t>Dotacja na zadania zlecone z zakresu administracji rządowej z Lubelskiego Urzędu Wojewódzkiego (odprowadzenie składki na ubezpieczenie zdrowotne od osób pobierających zasiłki z Miejskiego Ośrodka Pomocy Społecznej w Łęcznej)</t>
  </si>
  <si>
    <t>Zasiłki i pomoc w naturze oraz składki na ubezpieczenie społeczne i zdrowotne</t>
  </si>
  <si>
    <t>Dotacja na zadania zlecone z zakresu administracji rządowej z Lubelskiego Urzędu Wojewódzkiego (wypłata zasiłków przez Miejski Ośrodek Pomocy Społecznej w Łęcznej)</t>
  </si>
  <si>
    <t>Dotacja na zadania własne z Lubelskiego Urzędu Wojewódzkiego dla Miejskiego Ośrodka Pomocy Społecznej w Łęcznej</t>
  </si>
  <si>
    <t>Dotacja na zadania własne z Lubelskiego Urzędu Wojewódzkiego dla Miejskiego Ośrodka Pomocy Społecznej w Łęcznej z przeznaczeniem na program "Pomoc państwa w zakresie dożywiania"</t>
  </si>
  <si>
    <t>Świetlice szkolne</t>
  </si>
  <si>
    <t>Wpływy z usług świadczonych przez szkoły - obiady</t>
  </si>
  <si>
    <t>- SzP Nr 4 - 94.400 zł</t>
  </si>
  <si>
    <t>Dotacja z Urzędu Marszałkowskiego z przeznaczeniem na wypłatę stypendiów dla młodzieży w ramach programu ZPORR</t>
  </si>
  <si>
    <t xml:space="preserve">  O G Ó Ł E M    D O C H O D Y </t>
  </si>
  <si>
    <t>P R Z Y C H O D Y</t>
  </si>
  <si>
    <t>Kredyt długoterminowy</t>
  </si>
  <si>
    <t>O G Ó Ł E M      B U D Ż E T</t>
  </si>
  <si>
    <t>Załącznik Nr 1 do projektu Uchwały Rady Miejskiej</t>
  </si>
  <si>
    <t xml:space="preserve"> Przew.wyk.</t>
  </si>
  <si>
    <t xml:space="preserve"> za 1999 rok</t>
  </si>
  <si>
    <t>2000 rok</t>
  </si>
  <si>
    <t>Do planu wprowadzono kwotę zgodnie z pismem MF Nr ST3-4820-25/2006/1892 z dnia 11.X.2006 roku</t>
  </si>
  <si>
    <t>Przewidywany jest spadek dochodów z tego tytułu z uwagi na fakt, iż część użytkowników wieczystych zrzekła się na mocy art. 179 KC prawa wieczystego użytkowania na rzecz gminy.</t>
  </si>
  <si>
    <t>działki powstałe z podziału działek o nr 2362/2, 2363/2 przy ul. Sportowej</t>
  </si>
  <si>
    <t>działki powstałe z podziału działki 3178 przy ul. Lisa Błońskiego</t>
  </si>
  <si>
    <t>Planowany jest wzrost stawek czynszu z tytułu najmu lokali użytkowych w stosunku do wysokości stawek w 2006 roku o 3 % - zgodnie z przyjętymi założeniami do projektu budżetu gminy Łęczna na 2007 rok.</t>
  </si>
  <si>
    <t>Planowany jest wzrost stawek z tytułu dzierżawy działek w stosunku do wysokości stawek w 2006 roku o 3 % - zgodnie z przyjętymi założeniami do projektu budżetu gminy Łęczna na 2007 rok.</t>
  </si>
  <si>
    <t>Do planu wprowadzono kwotę zgodnie z pismem KBW Nr DLB 310-22/06 z dnia 23.X.2006 roku.</t>
  </si>
  <si>
    <t>Środki na wypłatę stypendiów dla uczniów w ramach realizacji programu ZPORR, priorytetu 2, działania 2.2. Projekt pn. "Start bez barier" - program wyrównywania szans edukacyjnych w roku szkolnym 2006/07.</t>
  </si>
  <si>
    <t>Zatrudnienie pracowników interwencyjnych do prac w zieleni</t>
  </si>
  <si>
    <t>Zimowe utrzymanie chodników, dróg i ulic gminnych</t>
  </si>
  <si>
    <r>
      <t>„Dwie kultury w trzech odsłonach” - cykl imprez przybliżających kulturę współczesną, tradycję i folklor Łęcznej i Kowla.  Dotacja celowa dla Centrum Kultury w Łęcznej (</t>
    </r>
    <r>
      <rPr>
        <i/>
        <sz val="18"/>
        <rFont val="Times New Roman"/>
        <family val="1"/>
      </rPr>
      <t>w projekcie ujęto Jarmark, Dni Łęcznej, Noc Świętojańską oraz Festiwal Kapel Ulicznych i Podwórkowych)</t>
    </r>
  </si>
  <si>
    <r>
      <t>Organizacja przez Muzeum Regionalne w Łęcznej cyklu wydarzeń kulturalnych</t>
    </r>
    <r>
      <rPr>
        <i/>
        <sz val="18"/>
        <rFont val="Times New Roman"/>
        <family val="1"/>
      </rPr>
      <t xml:space="preserve"> :Iluminatorstwo Artura Szyka, Wystawa poświęcona Janowi Gotlibowi Blochowi, Wystawa „Strój biłgorajsko-tarnogrodzki”, Wystawa oświatowa „Władysław Reymont”, Wystawa „Od pocztówki do e-maila”, Majówka w Muzeum, impreza edukacyjna „Zaginione smaki”.</t>
    </r>
    <r>
      <rPr>
        <sz val="18"/>
        <rFont val="Times New Roman"/>
        <family val="1"/>
      </rPr>
      <t xml:space="preserve"> Pomoc dla Samorządu Województwa Lubelskiego</t>
    </r>
  </si>
  <si>
    <t>Podmiot otrzymujący dotację</t>
  </si>
  <si>
    <t>Plan na 2007 rok</t>
  </si>
  <si>
    <t>Przeznaczenie dotacji (cel publiczny, realizacja zadania własnego gminy)</t>
  </si>
  <si>
    <t>Dotacja dla Stowarzyszenia Nauczycieli i Wychowawców "Przyjazna Szkoła"</t>
  </si>
  <si>
    <t>Realizacja programu profilaktycznego w szkołach na terenie gminy Łęczna</t>
  </si>
  <si>
    <t>Dotacja dla Parafii P. W. Św. Barbary</t>
  </si>
  <si>
    <t>851, 85154, p.2830</t>
  </si>
  <si>
    <t>Realizacja na terenie osiedla Niepodległości programu profilaktyczno - edukacyjnego w zakresie przeciwdziałania i rozwiązywania problemów alkoholowych występujących wśród dzieci i młodzieży</t>
  </si>
  <si>
    <t>Dotacja dla CARITAS Archidiecezji Lubelskiej - Okręg Nr 10 Łęczna</t>
  </si>
  <si>
    <t>Realizacja na terenie Starego Miasta programu profilaktyczno - edukacyjnego w zakresie przeciwdziałania i rozwiązywania problemów alkoholowych występujących wśród dzieci i młodzieży</t>
  </si>
  <si>
    <t>851, 85154, p. 2820</t>
  </si>
  <si>
    <t>Realizacja na terenie osiedla Bobrowniki programu profilaktyczno - edukacyjnego w zakresie przeciwdziałania i rozwiązywania problemów alkoholowych występujących wśród dzieci i młodzieży</t>
  </si>
  <si>
    <t>Dotacja dla Łęczyńskiego Stowarzyszenia Inicjatyw Społecznych</t>
  </si>
  <si>
    <t>Realizacja na terenie osiedla Bobrowniki programu profilaktyczno - edukacyjnego w zakresie przeciwdziałania narkomanii i rozwiązywania problemów alkoholowych występujących wśród dzieci i młodzieży</t>
  </si>
  <si>
    <t>Dotacja dla Lubelskiego Stowarzyszenia Przeciwalkoholowego</t>
  </si>
  <si>
    <t>Realizacja na terenie osiedla Samsonowicza programu profilaktyczno - edukacyjnego w zakresie przeciwdziałania i rozwiązywania problemów alkoholowych występujących wśród dzieci i młodzieży</t>
  </si>
  <si>
    <t>Realizacja na terenach wiejskich programu profilaktyczno - edukacyjnego w zakresie przeciwdziałania narkomanii i  rozwiązywania problemów alkoholowych występujących wśród dzieci i młodzieży</t>
  </si>
  <si>
    <t>R A Z E M    D Z I A Ł     851</t>
  </si>
  <si>
    <t>8.</t>
  </si>
  <si>
    <t>Dotacja dla Towarzystwa przyjaciół Ziemi Łęczyńskiej</t>
  </si>
  <si>
    <t>Wydawanie promujących gminę publikacji o tematyce informacyjno-kulturalnej</t>
  </si>
  <si>
    <t>9.</t>
  </si>
  <si>
    <t>Dotacja dla Stowarzyszenia Kobiet Powiatu Łęczyńskiego</t>
  </si>
  <si>
    <t>921, 92195, p.2820</t>
  </si>
  <si>
    <t>Organizacja warsztatów promujących twórczość ludową i kulturę regionu</t>
  </si>
  <si>
    <t>10.</t>
  </si>
  <si>
    <t>Dotacja dla Stowarzyszenia na Rzecz Osób z Upośledzeniem Umysłowym Koło w Łęcznej</t>
  </si>
  <si>
    <t>Organizacja na terenie gminy Łęczna otwartego, integracyjnego przeglądu twórczości artystycznej</t>
  </si>
  <si>
    <t>11.</t>
  </si>
  <si>
    <t>12.</t>
  </si>
  <si>
    <t>13.</t>
  </si>
  <si>
    <t>Dotacja dla Polskiego Związku Rencistów, Emerytów i Inwalidów Oddział Rejonowy w Łęcznej</t>
  </si>
  <si>
    <t>14.</t>
  </si>
  <si>
    <t>Dotacja dla Łęczyńskiego Stowarzyszenia Twórców Kultury i Sztuki "PLAMA"</t>
  </si>
  <si>
    <t>15.</t>
  </si>
  <si>
    <t>R A Z E M    D Z I A Ł     921</t>
  </si>
  <si>
    <t xml:space="preserve">R A Z E M </t>
  </si>
  <si>
    <t>Dział, rozdział, paragraf</t>
  </si>
  <si>
    <t>Dz., rozdz.</t>
  </si>
  <si>
    <t>Podmiot otrzymujący pomoc finansową</t>
  </si>
  <si>
    <t xml:space="preserve">Kwota </t>
  </si>
  <si>
    <t xml:space="preserve">Przeznaczenie dotacji (cel publiczny) </t>
  </si>
  <si>
    <t>Dz. 921, rozdz. 92195</t>
  </si>
  <si>
    <t xml:space="preserve">Muzeum Regionalne w Łęcznej Oddział Muzeum Lubelskiego </t>
  </si>
  <si>
    <t>R A Z E M</t>
  </si>
  <si>
    <t>Pomoc finansowa dla Województwa Lubelskiego w 2007 roku</t>
  </si>
  <si>
    <t xml:space="preserve">Organizacja przez Muzeum Regionalne w Łęcznej cyklu wydarzeń kulturalnych :Iluminatorstwo Artura Szyka, Wystawa poświęcona Janowi Gotlibowi Blochowi, Wystawa „Strój biłgorajsko-tarnogrodzki”, Wystawa oświatowa „Władysław Reymont”, Wystawa „Od pocztówki do e-maila”, Majówka w Muzeum, impreza edukacyjna „Zaginione smaki”. </t>
  </si>
  <si>
    <t>Nazwa jednostki</t>
  </si>
  <si>
    <t>Kwota dotacji</t>
  </si>
  <si>
    <t>Uwagi</t>
  </si>
  <si>
    <t>Dz. 921, rozdz. 92116</t>
  </si>
  <si>
    <t>Miejsko-Gminna Biblioteka Publiczna w Łęcznej</t>
  </si>
  <si>
    <t xml:space="preserve">Instytucja wpisana w gminny rejestr instytucji kultury. </t>
  </si>
  <si>
    <t>Dz. 921, rozdz. 92109</t>
  </si>
  <si>
    <t>Centrum Kultury - Komunalna Instytucja Kultury</t>
  </si>
  <si>
    <t>Instytucja wpisana w gminny rejestr instytucji kultury.</t>
  </si>
  <si>
    <t>Dz. 926, rozdz. 92605</t>
  </si>
  <si>
    <t>O G Ó Ł E M</t>
  </si>
  <si>
    <t>Wykaz dotacji dla instytucji kultury w 2007 roku</t>
  </si>
  <si>
    <t>Treść</t>
  </si>
  <si>
    <t>I</t>
  </si>
  <si>
    <t>PRZYCHODY:</t>
  </si>
  <si>
    <r>
      <t xml:space="preserve">Zobowiązania wg tytułów dłużnych: </t>
    </r>
    <r>
      <rPr>
        <sz val="12"/>
        <rFont val="Times New Roman"/>
        <family val="1"/>
      </rPr>
      <t>(1.1+1.2+1.3)</t>
    </r>
  </si>
  <si>
    <t>P r o g n o z a    d ł u g u</t>
  </si>
  <si>
    <t>sporządziła:</t>
  </si>
  <si>
    <t>Renata Brońska</t>
  </si>
  <si>
    <r>
      <t xml:space="preserve">długu </t>
    </r>
    <r>
      <rPr>
        <sz val="12"/>
        <rFont val="Times New Roman"/>
        <family val="1"/>
      </rPr>
      <t>(art. 170 ust. 1 ustawy o fp)                                    (1:3)</t>
    </r>
  </si>
  <si>
    <r>
      <t xml:space="preserve">długu po uwzględnieniu wyłączeń </t>
    </r>
    <r>
      <rPr>
        <sz val="12"/>
        <rFont val="Times New Roman"/>
        <family val="1"/>
      </rPr>
      <t>(art. 170 ust. 3 ustawy o fp)
(1.1+1.2):3</t>
    </r>
  </si>
  <si>
    <r>
      <t xml:space="preserve">spłaty zadłużenia </t>
    </r>
    <r>
      <rPr>
        <sz val="12"/>
        <rFont val="Times New Roman"/>
        <family val="1"/>
      </rPr>
      <t>(art. 169 ust. 1 ustawy o fp)        (2:3)</t>
    </r>
  </si>
  <si>
    <r>
      <t xml:space="preserve">spłaty zadłużenia po uwzględnieniu wyłączeń </t>
    </r>
    <r>
      <rPr>
        <sz val="12"/>
        <rFont val="Times New Roman"/>
        <family val="1"/>
      </rPr>
      <t>(art. 169 ust. 3 ustawy o fp)      (2.1+2.3):3</t>
    </r>
  </si>
  <si>
    <t>remont nawierzchni chodników i podjazdów, wymiana nawierzchni na kostke brukową</t>
  </si>
  <si>
    <t>zagospodarowanie terenów zielonych wokół budynku</t>
  </si>
  <si>
    <t>inne roboty remontowe</t>
  </si>
  <si>
    <t>Remont Filii Nr 3 przy ul. Jasminowej 4 - zabudowa rur znajdujących się w korytarzu ptrzy suficie</t>
  </si>
  <si>
    <t>Remont siedziby głównej MGBP w Łęcznej:</t>
  </si>
  <si>
    <t>- remont, malowanie dachu - 5.000 zł</t>
  </si>
  <si>
    <t>- wymiana stolarki okiennej - 30.000 zł</t>
  </si>
  <si>
    <t>- wymiana drzwi wejściowych na przystosowane do potrzeb osób niepełnosprawnych -10.000 zł</t>
  </si>
  <si>
    <t>- malowanie pomieszczeń biblioteki - 10.000 zł</t>
  </si>
  <si>
    <t>Organizacja przez Urząd Miejski w Łęcznej prac społecznie użytecznych dla bezrobotnych bez prawa do zasiłku</t>
  </si>
  <si>
    <t>Modernizacja placu przy Centrum Kultury</t>
  </si>
  <si>
    <t>Wykonanie parkingu przy ogrodzeniu Szkoły Podstawowej Nr 4 oraz remont drogi dojazdowej do szkoły ( projekt)</t>
  </si>
  <si>
    <t xml:space="preserve">Wydatki rzeczowe na utrzymanie Straży Miejskiej w Łęcznej              </t>
  </si>
  <si>
    <t>Zabezpieczenie środków na potencjane wydatki związane z poręczeniami dla organizacji pozarządowych, zabiegających o pozyskanie środków ze źródeł zewnętrznych</t>
  </si>
  <si>
    <t>- wynagrodzenia i pochodne - 2.550.000 zł</t>
  </si>
  <si>
    <t>- pomoc zdrowotna dla nauczycieli zgodnie z art. 72 ust.1 ustawy Karta Nauczyciela - 2.000 zł</t>
  </si>
  <si>
    <t>- pozostałe wydatki bieżące - 712.200 zł</t>
  </si>
  <si>
    <t>- środki na realizację wydatków pochodzące z dochodów realizowanych przez szkoły - 80.800 zł</t>
  </si>
  <si>
    <t>Darowizna z Lubelskiego Węgla "Bogdanka" SA z przeznaczeniem na prace remontowe w budynku Centrum Kultury</t>
  </si>
  <si>
    <t>- realizacja projektu realizowanego przez Gimnazjum Nr 2 pn. Poznać aby zrozumieć i zaakceptować II" - 24.600 zł</t>
  </si>
  <si>
    <t>D. Wydatki na prace remontowe w budynku Centrum Kultury finansowane w ramach środków z darowizny z LW "Bogdanka" SA zgodnie z przedstawionym do darczyńcy harmonogramem prac remontowych</t>
  </si>
  <si>
    <t>- pozostałe wydatki bieżące - 89.700 zł</t>
  </si>
  <si>
    <t>- środki na dożywianie dzieci - 55.000 zł</t>
  </si>
  <si>
    <t>- wypłata zasiłków - 195.000 zł</t>
  </si>
  <si>
    <t>Dotacja na zadania własne z Lubelskiego Urzędu Wojewódzkiego dla Miejskiego Ośrodka Pomocy Społecznej w Łęcznej - Program "Pomoc państwa za zakresie dożywiania"</t>
  </si>
  <si>
    <t>- wynagrodzenia i pochodne - 170.000 zł</t>
  </si>
  <si>
    <t>Modernizacja  ul.Wiosennej i Jaśminowej wraz  z wykonaniem nowych miejsc parkingowych ( projekt )</t>
  </si>
  <si>
    <t>Remont ulic Wiklionowej i Spacerowej wraz z budową miejsc parkingowych ( projekt )</t>
  </si>
  <si>
    <t>Modernizacja ul. Patriotów Polskich wraz z zatokami parkingowymi ( projekt )</t>
  </si>
  <si>
    <t>Modernizacja ul. Gwarków ( projekt )</t>
  </si>
  <si>
    <t>Budowa chodnika na terenie Parku Podzamcze</t>
  </si>
  <si>
    <t xml:space="preserve">Budowa chodnika na ul. Cegielnianej </t>
  </si>
  <si>
    <t>Dofinansowanie eksploatacji budynków komunalnych</t>
  </si>
  <si>
    <t>Zakup odzieży ochronnej, sprzętu bhp, środków czystości oraz napojów dla pracowników interwencyjnych</t>
  </si>
  <si>
    <t>Wydatki związane z konserwacją oświetlenia ulicznego i drogowego wraz z dzierżawą słupów należących do LUBZEL S.A</t>
  </si>
  <si>
    <t>Modernizacja oświetlenia ulicznego na Rynku II</t>
  </si>
  <si>
    <t>Wydatki na programy i projektu realizowane ze środków pochodzących z budżetu Unii Europejskiej w 2007 roku</t>
  </si>
  <si>
    <t>"Start bez barier - program wyrównywania szans edukacyjnych w roku szkolnym 2006/07" nr projektu Z/2.06/II/2.2/87/06 w ramach Priorytetu 2 - Wzmocnienie rozwoju zasobów ludzkich w regionach, działania 2.2 - Wyrównywanie szans edukacyjnych poprzez programy stypendialne ZPORR</t>
  </si>
  <si>
    <t>Plan przychodów i wydatków zakładów budżetowych w 2007 roku</t>
  </si>
  <si>
    <t>Środki dla 7 grup dzieci</t>
  </si>
  <si>
    <t>Środki dla 6 grup dzieci</t>
  </si>
  <si>
    <t>Środki dla 5 grup dzieci</t>
  </si>
  <si>
    <t>Środki na 12,09 etatu</t>
  </si>
  <si>
    <t>Środki na 11,18 etatu</t>
  </si>
  <si>
    <t>Środki na 12,90 etatu</t>
  </si>
  <si>
    <t>Plan przychodów i wydatków gminnego Funduszu Ochrony Środowiska i Gosp. Wodnej na 2007 rok</t>
  </si>
  <si>
    <t>"Młodzi ekolodzy to my" - Komenda Hufca ZHP w Łęcznej</t>
  </si>
  <si>
    <t>"Promujemy środowisko naszej okolicy" - Szkoła Podstawowa Nr 4 w Łęcznej</t>
  </si>
  <si>
    <t>"Ziemi nie zanieczyszczamy, gdy surowce wtórne zbieramy i przetwarzamy" - Szkoła Podstawowa w Zofiówce</t>
  </si>
  <si>
    <t>"Z ekologią pod rękę" - Gimnazjum Nr 2 w Łęcznej</t>
  </si>
  <si>
    <t>"Moja szkoła promotorem ekologii w środowisku lokalnym" - Zespół Szkół Nr 1 w Łęcznej</t>
  </si>
  <si>
    <t>"W naszym ogrodzie…" - Zespół Szkół  im. K. K. Jagiellończyka w Łęcznej</t>
  </si>
  <si>
    <t>XII Piknik Ekologiczny Łęczna 2007</t>
  </si>
  <si>
    <t>II</t>
  </si>
  <si>
    <t>Wspomaganie realizacji zadań państwowego monitoringu środowiska - koszty materiałów eksploatacyjnych pyłomierza (sączki)</t>
  </si>
  <si>
    <t>III</t>
  </si>
  <si>
    <t>IV</t>
  </si>
  <si>
    <t>V</t>
  </si>
  <si>
    <t>VI</t>
  </si>
  <si>
    <t>VII</t>
  </si>
  <si>
    <t>Budowa parkingu miejskiego i drogi dojazdowej do kościoła Św. Barbary przy ul. 07KZ.</t>
  </si>
  <si>
    <t>Modernizacja chodników na terenie miasta Łęczna w technologii kostki brukowej i płyt betonowych na ulicach miejskich</t>
  </si>
  <si>
    <t xml:space="preserve">Wykonanie parkingu przy ogrodzeniu budynku Szkoły Podstawowej Nr 4 </t>
  </si>
  <si>
    <t>Modernizacja ul. Wiosennej i Jaśminowej wraz z wykonaniem nowych miejsc parkingowych</t>
  </si>
  <si>
    <t>2007-2008</t>
  </si>
  <si>
    <t>Modernizacja ulicy Wiklinowej i Spacerowej wraz z budową miejsc parkingowych</t>
  </si>
  <si>
    <t>Zakup nowych zestawów komputerowych, drukarek</t>
  </si>
  <si>
    <t>Wykonanie projektu na nadbudowę budynku przy Pl. Kościuszki 5</t>
  </si>
  <si>
    <t>Zakup samochodu pożarniczego</t>
  </si>
  <si>
    <t>Budowa oświetlenia ulicznego na Al.. Jana Pawła II</t>
  </si>
  <si>
    <t>Zakup nowych ławek ulicznych i naprawa ( malowanie, odnawianie)</t>
  </si>
  <si>
    <t>Dotacje dla podmiotów nie zaliczanych do sektora finansów publicznych i nie działających w celu osiągnięcia zysku w 2007 roku</t>
  </si>
  <si>
    <t>Inwestycje gminne realizowane w 2007 roku</t>
  </si>
  <si>
    <t>Planowane do zaciągnięcia pożyczki długoterminowe - par. 952</t>
  </si>
  <si>
    <r>
      <t xml:space="preserve">Doposażenie świetlic wiejskich ( </t>
    </r>
    <r>
      <rPr>
        <i/>
        <sz val="18"/>
        <rFont val="Times New Roman"/>
        <family val="1"/>
      </rPr>
      <t>m.in. remont świetlicy w Karolinie - terakota, malowanie, sanitariaty 3.000 zł;                                                                  zakup krzeseł do świetlicy w Nowogrodzie 2.000 zł;       wymiana butli gazowych w świetlicach 1.500 zł ; zakupy 500zł</t>
    </r>
  </si>
  <si>
    <r>
      <t>Impreza kulturalna „Pożegnanie lata” - dotacja celowa dla Centrum Kultury w Łęcznej (</t>
    </r>
    <r>
      <rPr>
        <i/>
        <sz val="18"/>
        <rFont val="Times New Roman"/>
        <family val="1"/>
      </rPr>
      <t xml:space="preserve"> impreza realizowana przy współpracy z Radą Osiedla Bobrowniki)</t>
    </r>
  </si>
  <si>
    <r>
      <t>Festyn na Starówce „Łęczna – Lato na Starówce 2007" -  dotacja celowa dla Centrum Kultury w Łęcznej (</t>
    </r>
    <r>
      <rPr>
        <i/>
        <sz val="18"/>
        <rFont val="Times New Roman"/>
        <family val="1"/>
      </rPr>
      <t>impreza realizowana przy współpracy z Radą Osiedla Stare Miasto)</t>
    </r>
  </si>
  <si>
    <r>
      <t>Zorganizowanie filii Centrum Kultury - Osiedlowego Domu Kultury na Starym Mieście – dotacja celowa dla Centrum Kultury w Łęcznej (</t>
    </r>
    <r>
      <rPr>
        <i/>
        <sz val="18"/>
        <rFont val="Times New Roman"/>
        <family val="1"/>
      </rPr>
      <t>zadanie realizowane we współpracy z Radą Osiedla Stare Miasto)</t>
    </r>
  </si>
  <si>
    <r>
      <t>„Dwie kultury w trzech odsłonach” - cykl imprez przybliżających kulturę współczesną, tradycję i folklor Łęcznej i Kowla.  Dotacja celowa dla Centrum Kultury w Łęcznej (w</t>
    </r>
    <r>
      <rPr>
        <i/>
        <sz val="18"/>
        <rFont val="Times New Roman"/>
        <family val="1"/>
      </rPr>
      <t xml:space="preserve"> projekcie ujęto Jarmark oraz Dni Łęcznej, Noc Świętojańską oraz Festiwal Kapel Ulicznych i Podwórkowych)</t>
    </r>
  </si>
  <si>
    <r>
      <t>Festyn Dziki Zachód w Zakrzowie – dotacja celowa dla Centrum Kultury  w Łęcznej (</t>
    </r>
    <r>
      <rPr>
        <i/>
        <sz val="18"/>
        <rFont val="Times New Roman"/>
        <family val="1"/>
      </rPr>
      <t>impreza realizowana przy współpracy z Sołectwem Zakrzów)</t>
    </r>
  </si>
  <si>
    <t>2). pożyczki udzielone</t>
  </si>
  <si>
    <t>3). wykup papierów wartościowych</t>
  </si>
  <si>
    <t>P L A N     N A     2 0 0 7   ROK</t>
  </si>
  <si>
    <t>Przychody i rozchody budżetu gminy Łęczna w 2007 roku</t>
  </si>
  <si>
    <t>Zasiłki i pomoc w naturze oraz składki na ubezpieczenia społeczne i zdrowotne</t>
  </si>
  <si>
    <t>Domy i ośrodki kultury, świetlice i kluby</t>
  </si>
  <si>
    <t>Zadania w zakresie kultury fizycznej i sportu</t>
  </si>
  <si>
    <t>Z B I O R C Z E</t>
  </si>
  <si>
    <t xml:space="preserve">Przychody </t>
  </si>
  <si>
    <t>Kwota</t>
  </si>
  <si>
    <t>Sprzedaż papierów wartościowych wyemitowanych przez gminy</t>
  </si>
  <si>
    <t>Planowane do zaciągnięcia kredyty długoterminowe - par. 952</t>
  </si>
  <si>
    <t>Spłaty pożyczek udzielonych</t>
  </si>
  <si>
    <t>Przychody z prywatyzacji majątku</t>
  </si>
  <si>
    <t>R a z e m    p r z y c h o d y</t>
  </si>
  <si>
    <t xml:space="preserve">Rozchody </t>
  </si>
  <si>
    <t>Spłaty kredytów długoterminowych - par. 992</t>
  </si>
  <si>
    <t>Pożyczki udzielone</t>
  </si>
  <si>
    <t>Wykup papierów wartościowych</t>
  </si>
  <si>
    <t>Razem</t>
  </si>
  <si>
    <t>I.</t>
  </si>
  <si>
    <t>Pokrycie niedoboru budżetowego:</t>
  </si>
  <si>
    <t>1). pożyczką długoterminową</t>
  </si>
  <si>
    <t>2). kredytem długoterminowym</t>
  </si>
  <si>
    <t>4). przychodami ze sprzedaży papierów wartościowych</t>
  </si>
  <si>
    <t>5). przychodami z prywatyzacji majątku</t>
  </si>
  <si>
    <t>II.</t>
  </si>
  <si>
    <t>Przeznaczenie nadwyżki budżetu:</t>
  </si>
  <si>
    <t>1). spłata kredytów i pożyczek</t>
  </si>
  <si>
    <t>Planowane do zaciągnięcia pożyczki długoterminowe  na finansowanie zadań realizowanych z udziałem środków pochodzących z budżetu Unii Europejskiej - par. 903</t>
  </si>
  <si>
    <t>Spłaty pożyczek otrzymanych na finansowanie zadań realizowanych z udziałem środków pochodzących z budżetu Unii Europejskiej -par. 963</t>
  </si>
  <si>
    <t>Spłaty pożyczek długoterminowych - par. 992</t>
  </si>
  <si>
    <t>7.</t>
  </si>
  <si>
    <t>Nadwyżka z lat ubiegłych, wolne środki - par. 957</t>
  </si>
  <si>
    <t>3). nadwyżką budżetową z lat ubiegłych, wolne środki</t>
  </si>
  <si>
    <r>
      <t xml:space="preserve">Dofinansowanie działalności Rad Osiedli w zakresie kultury fizycznej i sportu                                                                           </t>
    </r>
    <r>
      <rPr>
        <i/>
        <sz val="18"/>
        <rFont val="Times New Roman"/>
        <family val="1"/>
      </rPr>
      <t>- II Turniej w Piłce Nożnej o Puchar Rady Osiedla Samsonowicza (2.500 zł) ,                                                        Turniej piłki nożnej w Nowogrodzie (2.000zł)</t>
    </r>
  </si>
  <si>
    <t>Stan zatrudnienia na dzień 31.10.2006 roku wynosi 72 osoby, 3 osoby na urlopie bezpłatnym -  46 pracowników samorządowych , 8 pracow. adm. zleconej, 14 prac.obsługi. Planowane jestzatrudnienie audytora i inżyniera drogowca, pracownika do referatu PGM i pracownika do administracji.  Roczne płace tych osób wynoszą  2.322.682 zł</t>
  </si>
  <si>
    <t>wymiana balustrady i ułożenie terakoty na schodach wewnętrznych w budynku urzędu przy Pl. Kościuszki 22 - 20.000 zł</t>
  </si>
  <si>
    <t>2 pary drzwi wejściowych i 11 okien drewnianych w USC - 35.000 zł</t>
  </si>
  <si>
    <t>woda - 6.000 zł</t>
  </si>
  <si>
    <t>zakup samochodu osobowego - 80.000 zł</t>
  </si>
  <si>
    <t>Zakup samochodu pożarniczego dla OSP Ciechanki Krzesim.- wkład własny (możliwość pozyskania środków z innych źródeł)</t>
  </si>
  <si>
    <t>Gimnazjum Nr 2 w Łęcznej - ????? Brak możliwości sfinansowania</t>
  </si>
  <si>
    <t>Budowa ścieżki rowerowej wzdłuż dróg gminnych nr 105177, 105181, 105176 w Kolonii Podzamcze</t>
  </si>
  <si>
    <t>Pożyczka z Banku Gospodarstwa Krajowego z przeznaczeniem na budowę ulicy miejskiej o symbolu 07 KZ w Łęcznej wraz z przebudową ulicy Lisa Błońskiego</t>
  </si>
  <si>
    <t>wydatki na pomoc rzeczową lub finansową dla innych jst</t>
  </si>
  <si>
    <t>wydatki na programy i projekty realizowane ze środków pochodzących z budżetu Unii Europejskiej</t>
  </si>
  <si>
    <t>wydatki na programy i projekty realizowane ze środków pochodzących z innych źródeł zagranicznych, niepodlegające zwrotowi</t>
  </si>
  <si>
    <t>wydatki na zadania własne</t>
  </si>
  <si>
    <t>GOSPODARKA KOMUNALNA I OCHRONA ŚRODOWISKA</t>
  </si>
  <si>
    <t>Oczyszczanie miast i wsi</t>
  </si>
  <si>
    <t>010</t>
  </si>
  <si>
    <t>ROLNICTWO I ŁOWIECTWO</t>
  </si>
  <si>
    <t>*</t>
  </si>
  <si>
    <t>01030</t>
  </si>
  <si>
    <t>Izby rolnicze</t>
  </si>
  <si>
    <t>Odpis z podatku rolnego na funkcjonowanie izb rolniczych</t>
  </si>
  <si>
    <t>A. wydatki remontowe i inwestycyjne:</t>
  </si>
  <si>
    <t>konserwacja i malowanie pomieszczeń segmentu A</t>
  </si>
  <si>
    <t>konserwacja i malowanie elewacji zewnętrznej hali widowiskowo-sportowej</t>
  </si>
  <si>
    <t>wymiana wykładzin w segmencie A</t>
  </si>
  <si>
    <t>wykładzina ochronna do hali widowiskowo-spotrowej</t>
  </si>
  <si>
    <t>ogrodzenie terenu szkoły - zakończenie inwestycji</t>
  </si>
  <si>
    <t>wymiana okien w segmencie A</t>
  </si>
  <si>
    <t>likwidacja barier architektonicznych w budynku szkoły</t>
  </si>
  <si>
    <t>nagłośnienie hali widowiskowo-sportowej</t>
  </si>
  <si>
    <t>Odpis na Zakładowy Fundusz Świadczeń Socjalnych    (wg stanu przec. wynagr.2.099,14 zł) dla zatrudnionych osób wynosi  6.297,44 zł</t>
  </si>
  <si>
    <t>Razem roczne wynagrodzenia pracowników wynoszą                    187.305 zł</t>
  </si>
  <si>
    <t>Kolonie i obozy oraz inne formy wypoczynku dzieci i młodzieży szkolnej, a także szkolenia młodzieży</t>
  </si>
  <si>
    <t>"Dofinansowanie do organizowanego w okresie letnim obozu dla młodzieży z Gołej Przystani na Ukrainie"</t>
  </si>
  <si>
    <t>Organizacja zajęć z zakresu profilaktyki uzależnień "Dzień Przeciwdziałania Agresji", "Światowy Dzień bez Papierosa", spotkania dla rodziców i młodzieży ze specjalistą w zakresie odżywiania się (bulimia, anoreksja).</t>
  </si>
  <si>
    <t>wykonanie oswietlenia boiska przy szkole</t>
  </si>
  <si>
    <t>A. wydatki remontowe i inwetycyjne:</t>
  </si>
  <si>
    <t>zakup samochodu dostawczego "Lublinek"</t>
  </si>
  <si>
    <t>zakup systemu nagłośniającego</t>
  </si>
  <si>
    <t>zakup kamery szerokokątnej</t>
  </si>
  <si>
    <t>Zakup nagród:                                                                              a) zawody sportowo – pożarnicze – 3000 zł,                                  b) turniej wiedzy pożarniczej        – 1000 zł,                                   c) zawody MDP                            – 1500 zł</t>
  </si>
  <si>
    <t>Wyposażenie i umundurowanie o ochronne (ubranie specjalne) – OSP Ciechanki Krzesim.</t>
  </si>
  <si>
    <t>Wydatki płacowe dla Straży Miejskiej w Łęcznej</t>
  </si>
  <si>
    <t xml:space="preserve">A. wydatki remontowe </t>
  </si>
  <si>
    <t>remont dachu - uszczelnienie pokrycia, obróbka blacharska kominów, docieplenie wełną mineralną</t>
  </si>
  <si>
    <t>remont tarasu od strony północnej, wykonanie okładziny gres, wykonanie balustrady</t>
  </si>
  <si>
    <t>remont elewacji budynku - malowanie farbami elewacyjnymi z wykonaniem poprawek tynkarskich, wymiana cokołu z lastriko płukanego na płytki gres</t>
  </si>
  <si>
    <t>wykonanie obódów na grzejniki w stołówce szkolnej, we wszytkich łazienkach i szatniach</t>
  </si>
  <si>
    <t>zniesienie barier architektonicznych (adaptacja schodów i drzwi wejściowych)</t>
  </si>
  <si>
    <t>remont kuchni (wymiana glazury i terakoty w pomieszczeniach produkcyjnych kuchni)</t>
  </si>
  <si>
    <t>ocieplenie ścian</t>
  </si>
  <si>
    <t>remont podłów</t>
  </si>
  <si>
    <t>wymiana oświetlenia w segmencie A</t>
  </si>
  <si>
    <t>położenie kostki brukowej chodnikowej w patio</t>
  </si>
  <si>
    <t>Realizacja programu profilaktycznego Miejska Liga Halowej Piłki Nożnej Trzeźwo - Zdrowo - Na sportowo. Zadanie realizowane przez Zespół Szkół Nr 1 w Łęcznej</t>
  </si>
  <si>
    <t>Zakup telewizora dla świetlicy profilaktyczno-wychowawczej działajacej przy Zespole Szkół Ogólnokształcących Nr 1 w Łęcznej</t>
  </si>
  <si>
    <t>opracowanie dokumentacji na wymianę instalacji elktrycznej w budynku szkoły</t>
  </si>
  <si>
    <t>wymiana instalacji elektrycznej</t>
  </si>
  <si>
    <t>opracowanie dokumentacji na wymianę instalacji centralnego ogrzewania w budynku szkoły</t>
  </si>
  <si>
    <t>wymiana instalacji centralnego ogrzewania</t>
  </si>
  <si>
    <t>zakup kserokopiarki</t>
  </si>
  <si>
    <t>zakup zestawu komputerowego do administracji</t>
  </si>
  <si>
    <t>zakup zestawu komputerowego na stanowisko wicedyrektorów</t>
  </si>
  <si>
    <t xml:space="preserve">Komisje egzaminacyjne </t>
  </si>
  <si>
    <t>Zespoły obsługi ekonomiczno-administracyjne szkół</t>
  </si>
  <si>
    <t>Odpis na ZFŚS dla emerytów i rencistów w szkolach</t>
  </si>
  <si>
    <t>Stypendia dla dzieci i młodzieży za wyniki w nauce</t>
  </si>
  <si>
    <t>Nagrody Burmistrza Łęcznej dla nauczycieli</t>
  </si>
  <si>
    <t xml:space="preserve">Dotacja na zadania zlecone  z Lubelskiego Urzędu Wojewódzkiego w Lublinie na wydatki bieżące Środowiskowego Domu Samopomocy w Łęcznej </t>
  </si>
  <si>
    <t>1. Zakup 4 zestawów komputerowych</t>
  </si>
  <si>
    <t>I rata - do 28.II.2007 - 67.000 zł</t>
  </si>
  <si>
    <t>II rata - do 31.V.2007 - 67.000 zł</t>
  </si>
  <si>
    <t>III rata - do 31.VIII.2007 - 67.000 zł</t>
  </si>
  <si>
    <t>IV rata - do 30.XI.2007 - 67.000 zł</t>
  </si>
  <si>
    <t>I rata - do 31.I.2007 - 50.000 zł</t>
  </si>
  <si>
    <t>II rata - do 30.IV.2007 - 50.000 zł</t>
  </si>
  <si>
    <t>I rata - do 30.VI.2007 - 400.000 zł</t>
  </si>
  <si>
    <t>II rata - do 20.XII.2007 - 355.000 zł</t>
  </si>
  <si>
    <t>I rata - do 31.III.2007 - 100.000 zł</t>
  </si>
  <si>
    <t>II rata - do 31.VIII.2007 - 100.000 zł</t>
  </si>
  <si>
    <t>III rata - do 30.XI.2007 - 50.000 zł</t>
  </si>
  <si>
    <t>I rata - do 31.III.2007 - 350.000 zł</t>
  </si>
  <si>
    <t>II rata - do 30.VI.2006 - 350.000 zł</t>
  </si>
  <si>
    <t>III rata - do 30.IX.2006 - 350.000 zł</t>
  </si>
  <si>
    <t>IV rata - do 31.XII.2006 - 350.000 zł</t>
  </si>
  <si>
    <t>Kredyt długoterminowy na finansowanie planowanego deficytu budżetu miny Łęczna (5.600.000)</t>
  </si>
  <si>
    <t>Współpraca z miastami partnerskimi</t>
  </si>
  <si>
    <t>* zgodnie z założeniami</t>
  </si>
  <si>
    <t>OBRONA NARODOWA</t>
  </si>
  <si>
    <t>Pozostałe wydatki obronne</t>
  </si>
  <si>
    <t>Wypłata świadczenia pieniężnego żołnierzom rezerwy odbywającym ćwiczenia wojskowe</t>
  </si>
  <si>
    <t>Pokrycie należności mieszkaniowych żołnierzom odbywającym służbę wojskową, absolwentom szkół wyższych odbywających przeszkolenie</t>
  </si>
  <si>
    <t>Ochotnicze straże pożarne</t>
  </si>
  <si>
    <t>A</t>
  </si>
  <si>
    <t>Wydatki związane z organizacją obchodów „Święta 3 Maja”</t>
  </si>
  <si>
    <t>Wydatki związane z organizacją obchodów „Święta 11 Listopada”</t>
  </si>
  <si>
    <t>Środki przeznaczone na udział w „Ogólnopolskim Przeglądzie Hejnałów Miejskich (składka, delegacja, wynagrodzenie hejnalisty -umowa o dzieło)</t>
  </si>
  <si>
    <t>Oznakowanie zabytków, miejsc pamięci i obiektów kultury</t>
  </si>
  <si>
    <t>Nagrody i wyróżnienia za osiągnięcia sportowe dla zawodników będących członkami klubów z terenu Gminy Łęczna</t>
  </si>
  <si>
    <t>Festynu sportowy „Bieg Kasztelański” - dotacja celowa dla Centrum Kultury w Łęcznej</t>
  </si>
  <si>
    <t>- wynagrodzenia i pochodne - 37.000 zł</t>
  </si>
  <si>
    <t>- pozostałe wydatki bieżące - 13.000 zł</t>
  </si>
  <si>
    <t>- wynagrodzenia i pochodne - 35.000 zł</t>
  </si>
  <si>
    <t>- pozostałe wydatki bieżące - 14.000 zł</t>
  </si>
  <si>
    <t>- wynagrodzenia i pochodne - 2.080.000 zł</t>
  </si>
  <si>
    <t>- środki na realizację wydatków pochodzące z dochodów realizowanych przez szkoły - 7.748 zł</t>
  </si>
  <si>
    <t>- konkurs matematyczny "Od tabliczki do różniczki" - 500 zł</t>
  </si>
  <si>
    <t>- pozostałe wydatki bieżące - 355.752 zł</t>
  </si>
  <si>
    <t>- wynagrodzenia i pochodne - 3.126.000 zł</t>
  </si>
  <si>
    <t>- środki na realizację wydatków pochodzące z dochodów realizowanych przez szkoły - 39.400 zł</t>
  </si>
  <si>
    <t>- pozostałe wydatki bieżące - 493.600 zł</t>
  </si>
  <si>
    <t>- wynagrodzenia i pochodne - 750.000 zł</t>
  </si>
  <si>
    <t>- pomoc zdrowotna dla nauczycieli zgodnie z art. 72 ust.1 ustawy Karta Nauczyciela -600 zł</t>
  </si>
  <si>
    <t>- pozostałe wydatki bieżące - 89.400 zł</t>
  </si>
  <si>
    <t>- wynagrodzenia i pochodne - 1.640.000 zł</t>
  </si>
  <si>
    <t>- pomoc zdrowotna dla nauczycieli zgodnie z art. 72 ust.1 ustawy Karta Nauczyciela -1.500 zł</t>
  </si>
  <si>
    <t>- pozostałe wydatki bieżące - 278.500 zł</t>
  </si>
  <si>
    <t>- wynagrodzenia i pochodne - 199.000 zł</t>
  </si>
  <si>
    <t>- pomoc zdrowotna dla nauczycieli zgodnie z art. 72 ust.1 ustawy Karta Nauczyciela -200 zł</t>
  </si>
  <si>
    <t>- pozostałe wydatki bieżące - 11.800 zł</t>
  </si>
  <si>
    <t>- wynagrodzenia i pochodne - 362.000 zł</t>
  </si>
  <si>
    <t>- pomoc zdrowotna dla nauczycieli zgodnie z art. 72 ust.1 ustawy Karta Nauczyciela -300 zł</t>
  </si>
  <si>
    <t>WYTWARZANIE I ZAOPARTRYWANIE W ENERGIĘ ELEKTRYCZNĄ, GAZ I WODĘ</t>
  </si>
  <si>
    <t>Opracowanie projektu na budowę sieci wodociągowej na terenie poscaleniowym przy ul. Szkolnej w Łęcznej</t>
  </si>
  <si>
    <t>Wykonanie projektu na budowę dróg na terenie poscaleniowym przy ul. Szkolnej w Łęcznej</t>
  </si>
  <si>
    <t>Opracowanie projektu na budowę sieci kanalizacyjnej na terenie posacleniowym przy ul. Szkolnej w Łęcznej</t>
  </si>
  <si>
    <t>Budowa oświetlenia drogi powiatowej we wsi Rossosz</t>
  </si>
  <si>
    <t xml:space="preserve">Docieplenie i odnowienie elewacji, wymiana okien, docieplenie stropodachu w budynku Urzędu Miejskiego - Plac Kościuszki 22), wraz z remontem sali konferencyjnej </t>
  </si>
  <si>
    <t>Nadwyżka budżetowa za 2006 rok</t>
  </si>
  <si>
    <t>Dz. 400, rozdz. 40095</t>
  </si>
  <si>
    <t>2007/2008</t>
  </si>
  <si>
    <t>Dz. 900, rozdz. 90001</t>
  </si>
  <si>
    <t>RAZEM DZIAŁ 900</t>
  </si>
  <si>
    <t>2006-2007</t>
  </si>
  <si>
    <t>OŚWIATA I WYCHOWANIE</t>
  </si>
  <si>
    <t>105% min.wynagr. x 12 m-cy x 2 = 982,80 zł.x 12 x 2 = 23.587,20 zł.</t>
  </si>
  <si>
    <t>Przewodniczący Komisji Gospodarki Finansowej i Budżetu oraz Komisji Rewizyjnej:</t>
  </si>
  <si>
    <t xml:space="preserve">95% min.wynagr. x 12 m-cy x 2 = 889,20 zł. x 12 x 2 = 21.340,80 zł. </t>
  </si>
  <si>
    <t>Przewodniczacy komisji stałych:</t>
  </si>
  <si>
    <t>Środki na dożywianie dzieci z rodzin z problemem alkoholowym (środki na dożywianie dzieci ze szczególnym uwzględnieniem dzieci zamieszkujących obszary wiejskie gminy Łęczna - zadanie do realizacji MOPS w Łęcznej)</t>
  </si>
  <si>
    <t>Zakup maszyn i narzędzi do prac w zieleni miejskiej, przeglądy i naprawy sprzętu do trych prac, zakup paliwa i oleju części zamiennych, naprawy oraz przeglądy okresowe sprzętu mechanicznego będącego na wyposażeniu referatu</t>
  </si>
  <si>
    <t>Budowa oświetlenia ulicznego na Al.  Jana Pawła II</t>
  </si>
  <si>
    <t>Utrzymanie kanalizacj deszczowej na terenie miasta ( naprawy bieżące, konserwacja, usuwanie awarii, czyszczenie wpustów ulicznych</t>
  </si>
  <si>
    <t>Budowa kompleksu boisk i terenów rekreacyjnych przy Szkole Podstawowej Nr 4 ( projekt )</t>
  </si>
  <si>
    <t>Organizacja dożynek przez Centrum Kultury – dotacja celowa dla Centrum Kultury w Łęcznej</t>
  </si>
  <si>
    <t>Organizacja przez Centrum Kultury konkursu „Piękna posesja” - dotacja celowa dla Centrum Kultury w Łęcznej</t>
  </si>
  <si>
    <t>Łęczyński Odyniec Kultury – dotacja celowa dla Centrum Kultury w Łęcznej</t>
  </si>
  <si>
    <t>Organizacja festynu na Deptaku – dni z miastem partnerskim -dotacja celowa dla Centrum Kultury w Łęcznej</t>
  </si>
  <si>
    <t>Zakup agregatu prądotwórczego – dotacja celowa dla Centrum Kultury w Łęcznej</t>
  </si>
  <si>
    <t>Międzynarodowy Plener Malarski Łęczna 2007 - dotacja celowa dla Centrum Kultury w Łęcznej</t>
  </si>
  <si>
    <t>impreza sylwestrowa -Rada Osiedla Samsonowicza (6.000 zł)</t>
  </si>
  <si>
    <t>Budowa oświetlenia chodnika od ul. Lisa Błońskiego do Gimnazjum Nr 2</t>
  </si>
  <si>
    <t>Budowa oświetlenia w parku ,,Podzamcze''</t>
  </si>
  <si>
    <t>Zakup energii elektrycznej do oświetlenia ulic miejskich i dróg gminnych</t>
  </si>
  <si>
    <t>Opłata za korzystanie ze środowiska ( dzierżawa gruntów pokrytych wodami - kładki; wody opadowe z kanlizacji deszczowej )</t>
  </si>
  <si>
    <t>Zdroje uliczne - opłata za pobór wody, naprawy i wymiany</t>
  </si>
  <si>
    <t xml:space="preserve">Zakup nowych koszy na śmieci </t>
  </si>
  <si>
    <t>Zakup nowych ławek ulicznych i naprawa ( malowanie, odnawianie )</t>
  </si>
  <si>
    <t xml:space="preserve">Zakup słupów ogłoszeniowych dla miasta Łęczna </t>
  </si>
  <si>
    <t>Projekt kanalizacji deszczowej dla zachodniej i południowej części miasta</t>
  </si>
  <si>
    <t>Budowa boiska i  placu zabaw przy ul. Szkolnej</t>
  </si>
  <si>
    <t>Umowy zlecenia dla kierowców z 8 jednostek Ochotniczych Straży Pożarnych z terenu gminy Łęczna</t>
  </si>
  <si>
    <t>Energia elektryczna, woda</t>
  </si>
  <si>
    <t>Ubezpieczenie pojazdów, sprzętu, strażaków i MDP</t>
  </si>
  <si>
    <t>Remont budynków strażnic:</t>
  </si>
  <si>
    <t xml:space="preserve">Utrzymanie pojazdów pożarniczych i motopomp         </t>
  </si>
  <si>
    <t>Zakup normatywnego wyposażenia, mundurów, ubrań specjalnych dla jednostek OSP,</t>
  </si>
  <si>
    <t>wymiana pokrycia dachowego</t>
  </si>
  <si>
    <t>Wykup nieruchomości pod planowane inwestycje gminne (drogi publiczne)</t>
  </si>
  <si>
    <t>Ogłoszenia</t>
  </si>
  <si>
    <t xml:space="preserve">Koszty sądowe i egzekucyjne dot. eksmisji najemców lokali </t>
  </si>
  <si>
    <t>DZIAŁALNOŚĆ USŁUGOWA</t>
  </si>
  <si>
    <t>Plany zagospodarowania przestrzennego</t>
  </si>
  <si>
    <t>1.</t>
  </si>
  <si>
    <t>Zmiana studium i planu zagospodarowania przestrzennego miasta Łęczna</t>
  </si>
  <si>
    <t>Zmiana studium i planu zagospodarowania przestrzennego gminy Łęczna</t>
  </si>
  <si>
    <t>Opracowania geodezyjne i kartograficzne</t>
  </si>
  <si>
    <t>Regulacja stanów prawnych nieruchomości plus opłaty hipoteczne</t>
  </si>
  <si>
    <t xml:space="preserve">Opracowanie operatów nazewnictwa ulic i numeracji porządkowej nieruchomości </t>
  </si>
  <si>
    <t>Cmentarze</t>
  </si>
  <si>
    <t>Ogłoszenia w prasie (przetargi, plany zagospodarowania przestrzennego)</t>
  </si>
  <si>
    <t>ADMINISTRACJA PUBLICZNA</t>
  </si>
  <si>
    <t>75011</t>
  </si>
  <si>
    <t>Urzędy wojewódzkie</t>
  </si>
  <si>
    <t xml:space="preserve">Środki na zadania administracji rządowej - wydatki płacowe wraz z pochodnymi i odpisem na ZFŚS- </t>
  </si>
  <si>
    <t xml:space="preserve">Wynagrodzenia osobowe pracowników - </t>
  </si>
  <si>
    <t xml:space="preserve">Dodatkowe wynagrodzenie roczne - </t>
  </si>
  <si>
    <t xml:space="preserve">Składki na ubezpieczenia społeczne - </t>
  </si>
  <si>
    <t>Składki na Fundusz Pracy -</t>
  </si>
  <si>
    <t xml:space="preserve">Odpis na ZFŚS - </t>
  </si>
  <si>
    <t>Rady gmin (miast i miast na prawach powiatu)</t>
  </si>
  <si>
    <t>2.</t>
  </si>
  <si>
    <t>3.</t>
  </si>
  <si>
    <t>4.</t>
  </si>
  <si>
    <t>5.</t>
  </si>
  <si>
    <t>6.</t>
  </si>
  <si>
    <t>-</t>
  </si>
  <si>
    <t>w tym:</t>
  </si>
  <si>
    <t xml:space="preserve">DZIAŁ </t>
  </si>
  <si>
    <t>Lp.</t>
  </si>
  <si>
    <t xml:space="preserve"> ROZDZIAŁ</t>
  </si>
  <si>
    <t>NAZWA ZADANIA - DZIAŁU</t>
  </si>
  <si>
    <t>OGÓŁEM</t>
  </si>
  <si>
    <t>wydatki na realizację zadań z zakresu administracji rządowej i inne zlecone jst ustawami</t>
  </si>
  <si>
    <t>wydatki na realizację zadań przejętych przez jst do realizacji w drodze umowy lub porozumienia</t>
  </si>
  <si>
    <t>Plan wydatków na 2007 rok</t>
  </si>
  <si>
    <t>wydatki na zadania realizowane wspólnie z innymi jst</t>
  </si>
  <si>
    <t>Dokumentacja projektowa rozbudowy budynku – wkład własny (możliwość pozyskania środków z funduszy UE) – OSP Ciechanki Krzesimowskie</t>
  </si>
  <si>
    <t>Zakup usług remontowych:                                                        a) OSP Zakrzów – 5000 zł,                                                             b) pozostałe usługi remontowe – 4000 zł</t>
  </si>
  <si>
    <t xml:space="preserve">Uzupełnienie wyposażenia jednostki w sprzęt ratowniczo gaśniczy – OSP Ciech. Krzesim.         </t>
  </si>
  <si>
    <t xml:space="preserve">Zakup radiostacji – OSP Karolin   </t>
  </si>
  <si>
    <r>
      <t>ułożenie parkietów w holu pawilonu - Nauczania Zintegrowanego, przystosowanie holu do funkcji pomocniczej sali gimnastycznej 150 m</t>
    </r>
    <r>
      <rPr>
        <i/>
        <vertAlign val="superscript"/>
        <sz val="18"/>
        <rFont val="Times New Roman"/>
        <family val="1"/>
      </rPr>
      <t xml:space="preserve">2 </t>
    </r>
  </si>
  <si>
    <r>
      <t xml:space="preserve">Środki dla </t>
    </r>
    <r>
      <rPr>
        <b/>
        <u val="single"/>
        <sz val="18"/>
        <rFont val="Times New Roman"/>
        <family val="1"/>
      </rPr>
      <t>Zespołu Obsługi Szkół i Przedszkoli w Łęcznej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na pokrycie kosztów funkcjonowania</t>
    </r>
  </si>
  <si>
    <r>
      <t xml:space="preserve">Środki dla </t>
    </r>
    <r>
      <rPr>
        <b/>
        <u val="single"/>
        <sz val="18"/>
        <rFont val="Times New Roman"/>
        <family val="1"/>
      </rPr>
      <t>Zespołu Szkół Nr 1 w Łęczne</t>
    </r>
    <r>
      <rPr>
        <b/>
        <sz val="18"/>
        <rFont val="Times New Roman"/>
        <family val="1"/>
      </rPr>
      <t xml:space="preserve">j - </t>
    </r>
    <r>
      <rPr>
        <sz val="18"/>
        <rFont val="Times New Roman"/>
        <family val="1"/>
      </rPr>
      <t>Rehabilitacja ruchowa dzieci na basenie</t>
    </r>
  </si>
  <si>
    <r>
      <t xml:space="preserve">Realizacja zadań z zakresu profilaktyki – zleconych w drodze otwartych konkursów ofert </t>
    </r>
    <r>
      <rPr>
        <i/>
        <sz val="18"/>
        <rFont val="Times New Roman"/>
        <family val="1"/>
      </rPr>
      <t>(na podstawie ustawy o działalności pożytku publicznego i o wolontariacie)</t>
    </r>
  </si>
  <si>
    <r>
      <t>Wynagrodzenie gospodarzy świetlic (</t>
    </r>
    <r>
      <rPr>
        <i/>
        <sz val="18"/>
        <rFont val="Times New Roman"/>
        <family val="1"/>
      </rPr>
      <t>zabezpieczenie środków skalkulowano na 7 świetlic + wniosek o utworzenie świetlicy w Starej Wsi)</t>
    </r>
  </si>
  <si>
    <t xml:space="preserve">Wynagrodzenie gospodarzy świetlic </t>
  </si>
  <si>
    <t xml:space="preserve">Doposażenie świetlic wiejskich </t>
  </si>
  <si>
    <t>Koszty prowadzenia i aktualizacji stałego rejestru wyborców</t>
  </si>
  <si>
    <t>Zespoły obsługi ekonomiczno- administracyjne szkół</t>
  </si>
  <si>
    <t>Kolonie i obozy oraz inne formy wypoczynku i młodzieży szkolnej, a także szkolenia młodzieży</t>
  </si>
  <si>
    <t>80% min. wynagr. x 12 m-cy x 9 = 748,80 zł. x 12 x 9 = 80.870,40 zł.</t>
  </si>
  <si>
    <t>radni:</t>
  </si>
  <si>
    <t>75% min. wynagr. x 12 x 7 = 702 zł. X 12 x 7 = 58.968 zł.</t>
  </si>
  <si>
    <t>Diety dla przewodniczących jednostek pomocniczych gminy</t>
  </si>
  <si>
    <t>22 przewodniczących jpg x 53 zł. x 12 m-cy = 13.992 zł.</t>
  </si>
  <si>
    <t>Wydatki rzeczowe - zakupy na posiedzenia komisji i Sesje Rady Miejskiej</t>
  </si>
  <si>
    <t>Szkolenia dla radnych Rady Miejskiej w Łęcznej</t>
  </si>
  <si>
    <t>Podróże służbowe radnych Rady Miejskiej w Łęcznej</t>
  </si>
  <si>
    <t>Wydawanie Biuletynu Informacyjnego Rady Miejskiej</t>
  </si>
  <si>
    <t>BEZPIECZEŃSTWO PUBLICZNE I OCHRONA PRZECIWPOŻAROWA</t>
  </si>
  <si>
    <t>Starostwa powiatowe</t>
  </si>
  <si>
    <t xml:space="preserve">Promocja jednostek samorządu terytorialnego </t>
  </si>
  <si>
    <t>Straż Miejska</t>
  </si>
  <si>
    <t xml:space="preserve">Szkoła Podstawowa Nr 4 w Łęcznej </t>
  </si>
  <si>
    <t>Opłaty sądowe związane ze skierowaniem przez GKRPA wniosków o wszczęcie postępowania w sprawie zastosowania obowiązku poddania się leczeniu w zakładzie lecznictwa odwykowego</t>
  </si>
  <si>
    <t>Wznawianie granic dróg gminnych</t>
  </si>
  <si>
    <t>Przedszkola</t>
  </si>
  <si>
    <t>ŚRODKI DLA PRZEDSZKOLI:</t>
  </si>
  <si>
    <t>Dotacja dla Przedszkola Nr 1</t>
  </si>
  <si>
    <t>w tym dodatkowe środki na remont:</t>
  </si>
  <si>
    <t>Dotacja dla Przedszkola Nr 2</t>
  </si>
  <si>
    <t>Dotacja dla Przedszkola Nr 3</t>
  </si>
  <si>
    <t xml:space="preserve">Dotacja dla Przedszkola Nr 5 </t>
  </si>
  <si>
    <t>GOSPODARKA MIESZKANIOWA</t>
  </si>
  <si>
    <t>Gospodarka gruntami i nieruchomościami</t>
  </si>
  <si>
    <t xml:space="preserve">Wydatki na utrzymanie Straży Miejskiej w Łęcznej              </t>
  </si>
  <si>
    <t xml:space="preserve"> - usługi ( m.in. przeglądy , rejestracja, rozmowy telefoniczne, lokal) - 25.000 zł</t>
  </si>
  <si>
    <t xml:space="preserve"> -ubezpieczenie sprzętu - 3.000 zł</t>
  </si>
  <si>
    <t>Zakup 1 zestawu komputerowego z drukarką oraz 1 aparatu cyfrowego</t>
  </si>
  <si>
    <t>Zakup samochodu osobowego</t>
  </si>
  <si>
    <t>Modernizacje dróg gminnych ujętych w strategii budowy dróg (wydatek inwestycyjny)</t>
  </si>
  <si>
    <t>Remont dróg gminnych kruszywem stalowniczym , kruszywem drogowym i innymi materiałami</t>
  </si>
  <si>
    <t>Remont nawierzchni asfaltowych chodników, dróg i ulic na terenie miasta i gminy Łęczna</t>
  </si>
  <si>
    <t>Przeciwdziałanie alkoholizmowii</t>
  </si>
  <si>
    <t>Zadania  w zakresie kultury fizycznej  i sportu</t>
  </si>
  <si>
    <t>Modernizacja chodnika pomiędzy ul. Szkolną a Górniczą</t>
  </si>
  <si>
    <t>Wykonanie zabezpieczenia rowów odparowujących przy ul. 07 KZ</t>
  </si>
  <si>
    <t>Remont dróg gminnych i innych powierzchni sprzętem mechanicznym</t>
  </si>
  <si>
    <t>Zakup materiałów i usług niezbędnych do prac referatu jako zarządcy dróg gminnych : pachołki, znaki drogowe pionowe, zastawy, taśmy, tablice informacyjne, farba do odnawiania znaków i słupków</t>
  </si>
  <si>
    <t>Rozbiórka budynku Zajazd ,,Mustang''</t>
  </si>
  <si>
    <t>Utrzymanie targowisk w mieście - wywóz nieczystości, naprawy bieżące</t>
  </si>
  <si>
    <t>Zimowe utrzymanie chodników , dróg i ulic gminnych</t>
  </si>
  <si>
    <t xml:space="preserve">Utrzymanie czystości i porządku na terenach gminnych, likwidacja ,,dzikich'' wysypisk śmieci oraz prowadzenie akcji porządkowych </t>
  </si>
  <si>
    <t>Utrzymanie szaletów publicznych i toalet - opłaty za wodę, ścieki, energię elektryczną, naprawy bieżące , remont szaletu przy Pl. Kościuszki</t>
  </si>
  <si>
    <t>Utrzymanie zieleni w miastach i gminach</t>
  </si>
  <si>
    <t>Domy i  ośrodki kultury, świetlice i kluby</t>
  </si>
  <si>
    <t>Utrzymanie zieleni - sadzenie kwiatków, cięcie żywopłotów, nasadzenia drzew i krzewów, zakup trawy i innych materiałów niezbędnych do utrzymania trawników, koszenie terenów zielonych</t>
  </si>
  <si>
    <t>Gimnazjum Nr 2 w Łęcznej</t>
  </si>
  <si>
    <t>Termomodernizacja szkół na terenie Gminy Łęczna</t>
  </si>
  <si>
    <t>Dowożenie uczniów do szkół</t>
  </si>
  <si>
    <t>Zespół Szkół Nr 1 w Łęcznej</t>
  </si>
  <si>
    <t>Szkoła Podstawowa Nr 4 w Łęcznej</t>
  </si>
  <si>
    <t>80120</t>
  </si>
  <si>
    <t>Licea ogólnokształcące</t>
  </si>
  <si>
    <t>80123</t>
  </si>
  <si>
    <t>Licea profilowane</t>
  </si>
  <si>
    <t>80130</t>
  </si>
  <si>
    <t>Szkoły zawodowe</t>
  </si>
  <si>
    <t>Komisje egzaminacyjne</t>
  </si>
  <si>
    <t>Zespół Obsługi Szkół i Przedszkoli w Łęcznej</t>
  </si>
  <si>
    <t>Dokształcanie i doskonalenie nauczycieli</t>
  </si>
  <si>
    <t>Organizacja wypoczynku dla dzieci i młodzieży z Ukrainy, Węgier i Włoch</t>
  </si>
  <si>
    <t>Zwalczanie narkomanii</t>
  </si>
  <si>
    <t>Realizacja programu zwalczania narkomanii</t>
  </si>
  <si>
    <t>Szkolenie profesjonalistów</t>
  </si>
  <si>
    <t>Zakup usług niezbędnych do stworzenia gminnego programu profilaktyki i rozwiązywania problemów alkoholowych (badania monitoringowe, tworzenie regionalnej mapy problemów, raporty diagnostyczne)</t>
  </si>
  <si>
    <t>85203</t>
  </si>
  <si>
    <t>Ośrodki wsparcia</t>
  </si>
  <si>
    <t>85212</t>
  </si>
  <si>
    <t>Świadczenia rodzinne oraz składki na ubezpieczenie emerytalne i rentowe z ubezpieczenia społecznego</t>
  </si>
  <si>
    <t>Dotacja na zadania zlecone  z Lubelskiego Urzędu Wojewódzkiego w Lublinie dla Miejskiego Ośrodka Pomocy Społecznej w Łęcznej na świadczenia rodzinne</t>
  </si>
  <si>
    <t xml:space="preserve">Wycena wartości rynkowej nieruchomości lokalowych przeznaczonych do sprzedaży oraz wycena wartości rynkowej działek potrzebnych do określenia udziału lokalu  w gruncie </t>
  </si>
  <si>
    <t>zaliczki na pokrycie kosztów zarządu nieruchomością wspólną w budynkach wspólnot mieszkaniowych</t>
  </si>
  <si>
    <t>zarządzanie nieruchomościami zabudowanymi budynkami stanowiącymi własność Gminy</t>
  </si>
  <si>
    <t>utrzymanie lokali socjalnych (pustostanów)  – w okresie od zakończenia umowy do ponownego zasiedlenia</t>
  </si>
  <si>
    <t>likwidacja awarii na budynkach komunalnych</t>
  </si>
  <si>
    <t>Wspólnota Mieszkaniowa ul.Wiklinowa 14</t>
  </si>
  <si>
    <t>Inwentaryzacja budynku celem wyodrębnienia lokali (ustalenie udziałów ułamkowych w części wspólnej budynku)</t>
  </si>
  <si>
    <t>koszty związane z utrzymaniem Przychodni Nr 3</t>
  </si>
  <si>
    <t>wymiana stolarki okiennej  113 szt.x 700</t>
  </si>
  <si>
    <t>wymiana otulin na rurach c.o. w piwnicznej części budynku</t>
  </si>
  <si>
    <t>remont wadliwej instalacji elektrycznej w części piwnicznej</t>
  </si>
  <si>
    <t>Pasternik 15</t>
  </si>
  <si>
    <t>wymiana drzwi zewnętrznych (3szt)</t>
  </si>
  <si>
    <t>przebudowa pieców i kuchni węglowych</t>
  </si>
  <si>
    <t>Litewska 8, Jagiełki 8</t>
  </si>
  <si>
    <t>ocena stanu technicznego budynków</t>
  </si>
  <si>
    <t>Przemysłowa 4</t>
  </si>
  <si>
    <t>wykonanie projektu wewnętrznej instalacji gazowej</t>
  </si>
  <si>
    <t>wykonanie przyłącza instalacji gazowej (jeśli nie wykonana będzie w 2006r.)</t>
  </si>
  <si>
    <t>demontaż starego niewykorzystywanego masztu</t>
  </si>
  <si>
    <t>Plac Kościuszki 2</t>
  </si>
  <si>
    <t>Opłaty związane z utrzymaniem części budynku ul. Plac Kościuszki 2 (część użytkowa, pomieszczenia dla grup interwencyjnych)</t>
  </si>
  <si>
    <t>Wrzosowa 3 nr 12, 21, 22</t>
  </si>
  <si>
    <t>Utrzymanie lokali mieszkalnych -komunalnych (w tym opłaty czynszowe za lokal), refundowane przez najemców</t>
  </si>
  <si>
    <t>Opłata za media w lokalach komunalnych</t>
  </si>
  <si>
    <t>Odszkodowania za działki wydzielone pod drogi z nieruchomości objętych podziałem na wniosek właściciela</t>
  </si>
  <si>
    <t>Opracowanie planu rewaloryzacji Starego Miasta w Łęcznej w strefie ścisłej ochrony konserwatorskiej</t>
  </si>
  <si>
    <t>wymiana okien, montaż i demontaż części parterowej w salach lekcyjnych oraz wymiana, montaz i demontaż okien na korytarzu</t>
  </si>
  <si>
    <t>zakup farb do malowania po wymianie okien</t>
  </si>
  <si>
    <t>wymiana podłóg w salach lekcyjnych na parterze (wylewka tynku, ocieplenie,zakup paneli listw wykończeniowych na podłogi)</t>
  </si>
  <si>
    <t>wyposażenie i wykonanie placu zabaw dla młodszych dzieci</t>
  </si>
  <si>
    <t>Razem roczne wynagrodzenia pracowników wynoszą 2.509.362 zł odjąć wynagrodzenia adm. rząd.         zł, pozostaje              zł</t>
  </si>
  <si>
    <t>Wynagrodzenia osobowe pracowników - 115.365 zł</t>
  </si>
  <si>
    <t>Dodatkowe wynagrodzenie roczne - 15.177 zł</t>
  </si>
  <si>
    <t>Składki na ubezpieczenia społeczne - 25.353 zł</t>
  </si>
  <si>
    <t>Składki na Fundusz Pracy - 3.610 zł</t>
  </si>
  <si>
    <t>Odpis na ZFŚS -  6.160 zł</t>
  </si>
  <si>
    <t>naprawa dachu i obróbki blacharkiej</t>
  </si>
  <si>
    <t>zakup stolików i krzesełek do sal lekcyjnych</t>
  </si>
  <si>
    <t>wymiana podłogi na korytarzu szkolnym</t>
  </si>
  <si>
    <t>adaptacja pomieszczeń na sale lekcyjne</t>
  </si>
  <si>
    <t>naprawa elewacji budynku szkoły</t>
  </si>
  <si>
    <t>zakup oprogramowania do pracowni komputerowej</t>
  </si>
  <si>
    <t>wymiana instalacji wodociągowej w piwnicach i maszynowni basenu</t>
  </si>
  <si>
    <t>wykonanie remontu studzienek kanalizacyjnych i burzowych - udrożnienie dwóch odcinków kanalizacji burzowej</t>
  </si>
  <si>
    <t>wykonanie obudów grzejników na holu I i II piętra w budynku dydaktycznym przy ul. Szkolnej 3 - 24 szt</t>
  </si>
  <si>
    <t>Oddziały przedszkolne w szkołach podstawowych</t>
  </si>
  <si>
    <t>zakup kostki brukowej</t>
  </si>
  <si>
    <t>zakup stolików i krzesełek dla 3 i 4 latków</t>
  </si>
  <si>
    <t>wymiana okien</t>
  </si>
  <si>
    <t>zmiana nawierzchni chodnika</t>
  </si>
  <si>
    <t>wymiana okien w budynku przedszkola</t>
  </si>
  <si>
    <t>wymiana płytek chodnikowych na kostkę brukową przy budynku przedszkola</t>
  </si>
  <si>
    <t>Dotacja dla Przedszkola Nr 5</t>
  </si>
  <si>
    <t>Zespół Szkół Ogólnokształcących Nr 1 w Łęcznej:</t>
  </si>
  <si>
    <t>wykonanie prac remontowych, rozdzielek elektrycznych polegających na modernizacji głównej rozdzielni zasilającej oraz rozdzielek zasilających poszczególne odbiory</t>
  </si>
  <si>
    <t>generalny remont łazienek dziewczat i chłopców na wszystkich kondygnacjach</t>
  </si>
  <si>
    <t>poprawa elewacji poprzez naprawe tynków i malowanie od strony północnej</t>
  </si>
  <si>
    <t>konserwacja ogrodzenia stalowego</t>
  </si>
  <si>
    <t>malowanie wszystkich sal lekcyjnych</t>
  </si>
  <si>
    <t>Energia elektryczna, woda - 2.500 zł</t>
  </si>
  <si>
    <t>Ubezpieczenie pojazdów, sprzętu, strażaków i MDP - 18.000 zł</t>
  </si>
  <si>
    <t>Remont budynków strażnic - 28.000 zł</t>
  </si>
  <si>
    <t xml:space="preserve">Utrzymanie pojazdów pożarniczych i motopomp - 33.500 zł         </t>
  </si>
  <si>
    <t>Zakup normatywnego wyposażenia, mundurów, ubrań specjalnych dla jednostek OSP - 16.000 zł</t>
  </si>
  <si>
    <t>Badania okresowe strażaków i kierowców jednostek OSP - 7.000 zł</t>
  </si>
  <si>
    <t>Wydatki związane z uczestnictwem w akcjach i szkoleniach pożarniczych - 15.000 zł</t>
  </si>
  <si>
    <t>Zakup samochodu pożarniczego - 90.000 zł</t>
  </si>
  <si>
    <t>Nadzwyczajne zagrożenia - 2.000 zł</t>
  </si>
  <si>
    <t>1). wykonanie nadmurowania attyki na dachu budynku basenu</t>
  </si>
  <si>
    <t>2). wykonanie konstrukcji wsporczej niecki basenu</t>
  </si>
  <si>
    <r>
      <t>3). ułożenie parkietu w holu pawilonu - nauczania zintegrowanego; przystosowanie holu do funkcji pomocniczej sali gimnastycznej - 150 m</t>
    </r>
    <r>
      <rPr>
        <i/>
        <vertAlign val="superscript"/>
        <sz val="18"/>
        <rFont val="Times New Roman"/>
        <family val="1"/>
      </rPr>
      <t>2</t>
    </r>
  </si>
  <si>
    <t>w tym środki na następujące prace remontowe:</t>
  </si>
  <si>
    <t>4). wymiana okien w budynku dydaktycznym przy ul. Szkolnej 3 (kuchnia, hole, łazienki)</t>
  </si>
  <si>
    <t>5). wykonanie obudów grzejników na holu I i II piętra w budynku dydaktycznym przy ul. Szkolnej 3</t>
  </si>
  <si>
    <t>6). wykonanie remontu ogrodzenia posesji szkolnej przy ul. Staszica 17</t>
  </si>
  <si>
    <t>7). wymiana głównych drzwi wejściowych do budynku szkolnego przy ul. Szkolnej 3</t>
  </si>
  <si>
    <t>8). wymiana głównych drzwi wejściowych na boisko w budynku szkolnym przy ul. Szkolnej 3</t>
  </si>
  <si>
    <t>9). wykonanie schodów i podjazdu dla niepełnosprawnych przy wejściu do obiektu sportowego przy ul. Szkolnej 3</t>
  </si>
  <si>
    <t>10). Wymiana terakoty na holu I piętra w rejonie biblioteki oraz sal lekcyjnych 102 i 103</t>
  </si>
  <si>
    <t>11). Remont urządzeń wentylatorowni pływalni szkolnej i nagrzewnic; wymiana silników, pomp cyrkulacyjnych i chloratora</t>
  </si>
  <si>
    <t>1). konserwacja i malowanie elewacji zewnętrznej hali</t>
  </si>
  <si>
    <t>- remonty i modernizacje w budynku szkoły i zakupy remontowe - 120.000 zł</t>
  </si>
  <si>
    <t>3). likwidacja barier architektonicznych w budynku szkoły</t>
  </si>
  <si>
    <t>2). wykładzina ochronna do hali widowiskowo- sportowej</t>
  </si>
  <si>
    <t>Realizacja projektu "Wirtualny Powiat. Budowa społeczeństwa informatycznego w Powiecie Łęczyńskim" w ramach wdrażania ZPORR - Priorytet 1 Działanie 1.5 "Infrastruktura społeczeństwa informacyjnego" - udział własny</t>
  </si>
  <si>
    <t>Wydatki na utrzymanie budynków urzędu</t>
  </si>
  <si>
    <t>opłaty za emisję zanieczyszczeń - 300 zł</t>
  </si>
  <si>
    <t>Zakupy związane z funkcjonowaniem urzędu</t>
  </si>
  <si>
    <t>Usługi związane z funkcjonowaniem urzędu</t>
  </si>
  <si>
    <t>Umowy zlecenia oraz umowy o dzieło</t>
  </si>
  <si>
    <t>Różne opłaty i składki</t>
  </si>
  <si>
    <t>Wydatki inwestycyjne</t>
  </si>
  <si>
    <t>Promocja Gminy Łęczna, zakup materiałów na rozwój i promocję miasta</t>
  </si>
  <si>
    <t>Badania okresowe strażaków i kierowców jednostek OSP</t>
  </si>
  <si>
    <t>Wydatki związane z uczestnictwem w akcjach i szkoleniach pożarniczych</t>
  </si>
  <si>
    <t>Nadzwyczajne zagrożenia</t>
  </si>
  <si>
    <t>01010</t>
  </si>
  <si>
    <t>Infrastruktura wodociągowa i sanitacyjna wsi</t>
  </si>
  <si>
    <t>Budowa wodociągu w Kolonii Witaniów</t>
  </si>
  <si>
    <t>Obrona cywilna</t>
  </si>
  <si>
    <t>Wydatki na szkolenia obrony cywilnej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</si>
  <si>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</si>
  <si>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</si>
  <si>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Inkaso dla sołtysów</t>
  </si>
  <si>
    <t>Koszty związane z egzekucją zaległych podatków, opłat oraz niepodatkowych należności budżetowych</t>
  </si>
  <si>
    <t>Koszty związane z ustanowieniem zabezpieczenia hipotecznego w związku z zaległościami podatkowymi</t>
  </si>
  <si>
    <t>Inne koszty związane z poborem podatków i opłat (druki, opłaty pocztowe, koszty dystrybucji znaków opłaty skarbowej i innych opłat)</t>
  </si>
  <si>
    <t>Wynagrodzenie inkasenta opłaty targowej, zakup bloczków opłat targowych i inne wydatki związane z poborem tej opłaty</t>
  </si>
  <si>
    <t>OBSŁUGA DŁUGU PUBLICZNEGO</t>
  </si>
  <si>
    <t>Obsługa papierów wartościowych, kredytów i pożyczek jst</t>
  </si>
  <si>
    <t>Odsetki od kredytów i pożyczek</t>
  </si>
  <si>
    <t>Rozliczenia z tytułu poręczeń i gwarancji udzielonych przez Skarb Państwa lub jst</t>
  </si>
  <si>
    <t>Zabezpieczenie środków na potencjane wydatki związane z poręczeniami dla organizacji pozarządowych - klubów sportowych zabiegających o pozyskanie środków ze źródeł zewnętrznych</t>
  </si>
  <si>
    <t>758</t>
  </si>
  <si>
    <t>RÓŻNE ROZLICZENIA</t>
  </si>
  <si>
    <t>75818</t>
  </si>
  <si>
    <t>Rezerwy ogólne i celowe</t>
  </si>
  <si>
    <t>Rezerwa ogólna</t>
  </si>
  <si>
    <t>Rezerwa celowa z przeznaczeniem na realizację zadań własnych gminy zleconych podmiotom nie zaliczonym do sektora finansów publicznych i nie działających w celu osiągniecia zysku</t>
  </si>
  <si>
    <t>Wykup nieruchomości gruntowych na zasoby komunalne związane z realizacją zadań publicznych</t>
  </si>
  <si>
    <t>Rozbudowa sieci drogowej łączącej drogę krajową Nr 82 z drogą wojewódzką Nr 820 w Łęcznej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</si>
  <si>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</si>
  <si>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</si>
  <si>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</si>
  <si>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</si>
  <si>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</si>
  <si>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</si>
  <si>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</si>
  <si>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</si>
  <si>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</si>
  <si>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</si>
  <si>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</si>
  <si>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</si>
  <si>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</si>
  <si>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</si>
  <si>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</si>
  <si>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Budowa dróg gminnych wg "Strategii Budowy Dróg Gminnych" (2005-2010)</t>
  </si>
  <si>
    <t>A.      
B.
C.
…</t>
  </si>
  <si>
    <t>Przebudowa Alei Jana Pawła II</t>
  </si>
  <si>
    <t>Kanalizacja deszczowa dla miasta Łęczna (2005-2009)</t>
  </si>
  <si>
    <t>Kanalizacja sanitarna grawitacyjno – ciśnieniowa wsi Podzamcze i Stara Wieś (2004-2009)</t>
  </si>
  <si>
    <t xml:space="preserve">
C.
</t>
  </si>
  <si>
    <t>Budowa ulic równoległych do ulicy Krasnystawskiej (2005-2009)</t>
  </si>
  <si>
    <t>Budowa dróg osiedlowych w dzielnicy przemysłowej (2006-2010)</t>
  </si>
  <si>
    <t>Budowa ścieżki pieszo-rowerowej na odcinku od ul. Jagiełki do ul. Chełmskiej w Łęcznej (2003-2008)</t>
  </si>
  <si>
    <t>Budowa cmentarza komunalnego (2006-2030)</t>
  </si>
  <si>
    <t>Rewaloryzacja Starego Miasta  i uporządkowanie ul. Rynek II w Łęcznej (2004-2014)</t>
  </si>
  <si>
    <t>Termomodernizacja szkół na terenie gminy Łęczna (2004-2014)</t>
  </si>
  <si>
    <t>Budowa kompleksu sportowego przy Szkole Podstawowej Nr 4 w Łęcznej (2006-2009)</t>
  </si>
  <si>
    <t>Rozbudowa sieci drogowej łączącej drogę krajową Nr 82 z drogą wojewódzką Nr 820 w Łęcznej (2005-2010)</t>
  </si>
  <si>
    <t>Modernizacja Placu Powstań Narodowych wraz z towarzyszącym parkingiem (2006-2009)</t>
  </si>
  <si>
    <t>Budowa oświetlenia ulicznego przy drogach gminnych, powiatowych, wojewódzkich i krajowej (2007-2014)</t>
  </si>
  <si>
    <t>Rewitalizacja Starego Traktu, połączenie drogi krajowej nr 82 z drogą wojewódzką nr 820 poprzez nowy most na Wieprzu w okolicy bazy Transpol (2007-2014)</t>
  </si>
  <si>
    <t>Realizacja projektu - "Wirtualny Powiat. Budowa społeczeństwa informacyjnego w Powiecie Łęczyńskim" w ramach wdrażania ZPORR - Priorytet I, działanie 1.5 - Infrastruktura społeczeństwa informacyjnego (2005-2007)</t>
  </si>
  <si>
    <t>Rozbudowa sieci drogowej łączącej drogę krajową Nr 82 z drogą wojewódzką Nr 829 w Łęcznej (2005-2010)</t>
  </si>
  <si>
    <t>Budowa ulicy 05KZ w Łęcznej – II etap wraz z remontem ulic łączących drogę krajową Nr 82 z drogą wojewódzką Nr 820 (2005-2010)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</si>
  <si>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</si>
  <si>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</si>
  <si>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</si>
  <si>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</si>
  <si>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</si>
  <si>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</si>
  <si>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</si>
  <si>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ZSzO Nr 1/ZSz Nr 1, Gimnazjum Nr 2, SzP Nr 4</t>
  </si>
  <si>
    <t>Limity wydatków na wieloletnie programy inwestycyjne w latach 2007 - 2010</t>
  </si>
  <si>
    <t>akcesoria komputerowe, modernizacja posiadanych komputerów - 4.000 zł</t>
  </si>
  <si>
    <t>2 pary drzwi wejściowych i 11 okien drewnianych w USC - 30.000 zł</t>
  </si>
  <si>
    <t>wymiana grzejników w pokoju kierownika USC - 6.000 zł</t>
  </si>
  <si>
    <t>materiały biurowe, tonery, druki, pieczęcie, wizytówki urzędowe, papier firmowy, karty świąteczne - 30.000 zł</t>
  </si>
  <si>
    <t>materiały papiernicze do drukarek i kserokopiarek - 8.000 zł</t>
  </si>
  <si>
    <t>paliwo, oleje, części zamienne do samochodów - 20.000 zł</t>
  </si>
  <si>
    <t>prasa, czasopisma, wydawnictwa prawne, poradniki - 18.000 zł</t>
  </si>
  <si>
    <t>użytkowe programy komputerowe - 8.000 zł</t>
  </si>
  <si>
    <t>opłaty za przesyłki listowe i pocztowe - 50.000 zł</t>
  </si>
  <si>
    <t>opłaty za telefony komórkowe - 10.000 zł</t>
  </si>
  <si>
    <t>opłaty za telefony stacjonarne - 40.000 zł</t>
  </si>
  <si>
    <t>konserwacja, serwis posiadanego oprogramowania, nadzór eksploatacyjny, abonament BIP - 25.000 zł</t>
  </si>
  <si>
    <t>WYDATKI RZECZOWE I MAJĄTKOWE</t>
  </si>
  <si>
    <t>Dotacja z Urzędu Wojewódzkiego w Lublinie z przeznaczeniem na realizację zadania finansowanego w ramach programu ZPORR pn."Budowa ulicy miejskiej o symbolu 07 KZ w Łęcznej wraz z przebudową ulicy Lisa Błońskiego"; nr umowy Z/2.06/I/1.1.1/70/05/U/26/05.</t>
  </si>
  <si>
    <t>Pożyczka z Banku Gospodarstwa Krajowego z przeznaczeniem realizację zadania finansowanego w ramach programu ZPORR pn."Budowa ulicy miejskiej o symbolu 07 KZ w Łęcznej wraz z przebudową ulicy Lisa Błońskiego"; nr umowy z Wojewodą Lubelskim Z/2.06/I/1.1.1/70/05/U/26/05.</t>
  </si>
  <si>
    <t>- wymiana drzwi wejściowych do budynku MGBP w Łęcznej celem przystosowania do potrzeb osób niepełnosprawnych -10.000 zł</t>
  </si>
  <si>
    <t>- malowanie pomieszczeń w siedzibie głównej biblioteki - 10.000 zł</t>
  </si>
  <si>
    <t>- pozostałe wydatki - 84.000 zł</t>
  </si>
  <si>
    <t>Pożyczka WFOŚiGW w Lublinie z przeznaczeniem na realizację zadania "Kanalizacja sanitarna grawitacyjno-ciśnieniowa wsi Podzamcze i Stara Wieś"</t>
  </si>
  <si>
    <t>- pomoc zdrowotna dla nauczycieli zgodnie z art. 72 ust.1 ustawy Karta Nauczyciela - 100 zł</t>
  </si>
  <si>
    <t>- środki na żywienie - 52.825 zł</t>
  </si>
  <si>
    <t>- pozostałe wydatki bieżące - 17.075 zł</t>
  </si>
  <si>
    <t>- wynagrodzenia i pochodne - 302.000 zł</t>
  </si>
  <si>
    <t>- pomoc zdrowotna dla nauczycieli zgodnie z art. 72 ust.1 ustawy Karta Nauczyciela - 200 zł</t>
  </si>
  <si>
    <t>- środki na żywienie -125.000 zł</t>
  </si>
  <si>
    <t>- pozostałe wydatki bieżące - 97.800 zł</t>
  </si>
  <si>
    <t>- wynagrodzenia i pochodne - 116.000 zł</t>
  </si>
  <si>
    <t>- środki na żywienie -40.400 zł</t>
  </si>
  <si>
    <t>- pozostałe wydatki bieżące - 69.500 zł</t>
  </si>
  <si>
    <t>- wynagrodzenia i pochodne - 215.600 zł</t>
  </si>
  <si>
    <t>- środki na żywienie -94.400 zł</t>
  </si>
  <si>
    <t>- pozostałe wydatki bieżące - 17.900 zł</t>
  </si>
  <si>
    <t>Środki na wypłatę stypendiów socjalnych dla dzieci i młodzieży</t>
  </si>
  <si>
    <t>Wpływy z PUP - refundacja kosztów zatrudnienia pracownika</t>
  </si>
  <si>
    <t>- ZSz Nr 1 - 55.000 zł</t>
  </si>
  <si>
    <t>- ZSz Nr 1 - 25.000 zł</t>
  </si>
  <si>
    <t>- ZSz Nr 1 - 800 zł</t>
  </si>
  <si>
    <t>- ZSz Nr 1 - 125.000  zł</t>
  </si>
  <si>
    <t>- ZSzO Nr 1 - 4.898 zł</t>
  </si>
  <si>
    <t>- ZSzO Nr 1 - 2.700  zł</t>
  </si>
  <si>
    <t>- ZSzO Nr 1 - 150 zł</t>
  </si>
  <si>
    <t>- ZSzO Nr 1 - 52.825 zł</t>
  </si>
  <si>
    <t>- Gimnazjum Nr 2 -30.250 zł</t>
  </si>
  <si>
    <t>- Gimnazjum Nr 2 - 350  zł</t>
  </si>
  <si>
    <t>-Gimnazjum Nr 2 - 800 zł</t>
  </si>
  <si>
    <t>- Gimnazjum Nr 2 - 8.000  zł</t>
  </si>
  <si>
    <t>- Gimnazjum Nr 2 - 40.400  zł</t>
  </si>
  <si>
    <t>Budowa ścieżki pieszo-rowerowej na odcinku od ul. Jagiełki do ul. Chełmskiej w Łęcznej - WPI</t>
  </si>
  <si>
    <t>Szkoły podstawowe</t>
  </si>
  <si>
    <t>ŚRODKI DLA SZKÓŁ:</t>
  </si>
  <si>
    <t>Zespół Szkół Nr 1 w Łęcznej:</t>
  </si>
  <si>
    <t>w tym środki na:</t>
  </si>
  <si>
    <t>Rozbudowa sieci drogowej łączącej drogę krajową nr 82 z drogą wojewódzką nr 829 - WPI</t>
  </si>
  <si>
    <t>Rewitalizacja Starego Traktu, połączenie drogi krajowej nr 82 z wojewódzką nr 820 poprzez nowy most na Wieprzu w okolicy bazy Transpol - WPI</t>
  </si>
  <si>
    <t>Przychodnia Nr 3 ul. Jaśminowa 4</t>
  </si>
  <si>
    <t>WYDATKI RZECZOWE</t>
  </si>
  <si>
    <t>Modernizacja ulicy Wiklinowej i Spacerowej wraz z budową miejsc parkingowych ( projekt )</t>
  </si>
  <si>
    <r>
      <t>Organizacja przez Muzeum Regionalne w Łęcznej cyklu wydarzeń kulturalnych</t>
    </r>
    <r>
      <rPr>
        <i/>
        <sz val="18"/>
        <rFont val="Times New Roman"/>
        <family val="1"/>
      </rPr>
      <t xml:space="preserve"> :                                                           Iluminatorstwo Artura Szyka                                           Wystawa poświęcona Janowi Gotlibowi Blochowi           Wystawa „Strój biłgorajsko-tarnogrodzki”                    Wystawa oświatowa „Władysław Reymont”                     Wystawa „Od pocztówki do e-maila”                                  Majówka w Muzeum,                                                                           impreza edukacyjna „Zaginione smaki”                                         </t>
    </r>
    <r>
      <rPr>
        <sz val="18"/>
        <rFont val="Times New Roman"/>
        <family val="1"/>
      </rPr>
      <t xml:space="preserve"> Pomoc dla Samorządu Województwa Lubelskiego</t>
    </r>
  </si>
  <si>
    <r>
      <t xml:space="preserve">Realizacja zadań z zakresu kultury – zleconych w drodze otwartych konkursów ofert </t>
    </r>
    <r>
      <rPr>
        <i/>
        <sz val="18"/>
        <rFont val="Times New Roman"/>
        <family val="1"/>
      </rPr>
      <t>(na podstawie ustawy o działalności pożytku publicznego i o wolontariacie)</t>
    </r>
  </si>
  <si>
    <r>
      <t xml:space="preserve">Turnieje w piłce nożnej dla dzieci i młodzieży i mieszkańców Łęcznej – dotacja celowa dla CK   </t>
    </r>
    <r>
      <rPr>
        <i/>
        <sz val="18"/>
        <rFont val="Times New Roman"/>
        <family val="1"/>
      </rPr>
      <t>-impreza realizowana przy współpracy z Radą Osiedla Bobrowniki                                                                                   III Turniej Wakacyjny Drużyn Podwórkowych                             II Turniej Wakacyjny dla młodzieży                                               II Turniej Oldbojów                                                              Halowy turniej dla młodzieży</t>
    </r>
  </si>
  <si>
    <r>
      <t xml:space="preserve">Turnieje w piłce nożnej dla dzieci i młodzieży i mieszkańców Łęcznej – dotacja celowa dla CK   </t>
    </r>
    <r>
      <rPr>
        <i/>
        <sz val="18"/>
        <rFont val="Times New Roman"/>
        <family val="1"/>
      </rPr>
      <t>-imprezy realizowana przy współpracy z Radą Osiedla Bobrowniki: III Turniej Wakacyjny Drużyn Podwórkowych, II Turniej Wakacyjny dla młodzieży, II Turniej Oldbojów, Halowy turniej dla młodzieży.</t>
    </r>
  </si>
  <si>
    <r>
      <t xml:space="preserve">Dofinansowanie działalności Rad Osiedli w zakresie kultury fizycznej i sportu: </t>
    </r>
    <r>
      <rPr>
        <i/>
        <sz val="18"/>
        <rFont val="Times New Roman"/>
        <family val="1"/>
      </rPr>
      <t>II Turniej w Piłce Nożnej o Puchar Rady Osiedla Samsonowicza, Turniej piłki nożnej w Nowogrodzie</t>
    </r>
  </si>
  <si>
    <t>Zakupy inwestycyjne</t>
  </si>
  <si>
    <t>WYDATKI BIEŻĄCE:</t>
  </si>
  <si>
    <t>wynagrodzenia osobowe, bezosobowe oraz pochodne</t>
  </si>
  <si>
    <t>dotacje</t>
  </si>
  <si>
    <t>obsługa długu</t>
  </si>
  <si>
    <t>z tyt. poręczeń i gwarancji</t>
  </si>
  <si>
    <t>WYDATKI MAJĄTKOWE:</t>
  </si>
  <si>
    <t>inwestycyjne na finansowanie lub dofinansowanie kosztów realizacji inwestycji</t>
  </si>
  <si>
    <t>60016</t>
  </si>
  <si>
    <t>70005</t>
  </si>
  <si>
    <t>70095</t>
  </si>
  <si>
    <t>71004</t>
  </si>
  <si>
    <t>71014</t>
  </si>
  <si>
    <t>71095</t>
  </si>
  <si>
    <t>75022</t>
  </si>
  <si>
    <t>Rady gmin</t>
  </si>
  <si>
    <t>75023</t>
  </si>
  <si>
    <t>Urzędy gmin</t>
  </si>
  <si>
    <t>Promocja jednostek samorządu terytorialnego</t>
  </si>
  <si>
    <t>75101</t>
  </si>
  <si>
    <t>Straż miejska</t>
  </si>
  <si>
    <t>Dokształcenie i doskonalenie zawodowe nauczycieli</t>
  </si>
  <si>
    <t>Przeciwdziałanie alkoholizmowi</t>
  </si>
  <si>
    <t>energia elektryczna - 38 .000 zł</t>
  </si>
  <si>
    <t>ogrzewanie budynków (zakup energii cieplnej, gaz) - 46 .000 zł</t>
  </si>
  <si>
    <t>przeglądy kominów i instalacji gazowej i elektrycznej, przeglądy gaśnic, systemu alarmowego - 2.300 zł</t>
  </si>
  <si>
    <t>wymiana okien i parapetów na korytarzu w budynku Urzędu przy Pl. Kościuszki 5 - 15.500 zł</t>
  </si>
  <si>
    <t>oczyszczenie ścian, uzupełnienie ubytków, wykonanie izolacji ścian frontowych metodą iniekcji niskociśnieniowej - 10.000 zł</t>
  </si>
  <si>
    <t>założenie klimatyzacji w sali konferencyjnej - 15.000 zł</t>
  </si>
  <si>
    <t>usługi, naprawy bieżące (szklenie, dorabianie kluczy, naprawa odkurzaczy itp.), usługi elektryczne - 3.000 zł</t>
  </si>
  <si>
    <t>meble, firany, wykładziny, dywany - 35.000 zł</t>
  </si>
  <si>
    <t>artykuły gospodarcze (świetlówki, żarówki, zamki, kłódki, czajniki), elektryczne, hydrauliczne, malarskie (m.in. na odnowienie sali konferencyjnej, budynku USC sposobem gospodarskim), środki czystości i in.  - 50.000 zł</t>
  </si>
  <si>
    <t>wymiana grzejników w pokoju kierownika USC - 7.000 zł</t>
  </si>
  <si>
    <t>wymiana oświetlenia w pokojach biurowych - 5.000 zł</t>
  </si>
  <si>
    <t>ułożenie podłóg z terakoty i paneli w pomieszczeniach biurowych i na korytarzu w budynku urzędu przy Pl. Kościuszki 5 oraz terakoty w sali konferencyjnej - 82.000 zł</t>
  </si>
  <si>
    <t>5 par drzwi wewnętrznych do pomieszczeń biurowych - 14.000 zł</t>
  </si>
  <si>
    <t>wywóz nieczystości stałych i dzierżawa kontenerów na śmieci - 3.000 zł</t>
  </si>
  <si>
    <t>materiały biurowe, tonery, druki, pieczęcie, wizytówki urzędowe, papier firmowy, karty świąteczne - 33.000 zł</t>
  </si>
  <si>
    <t>materiały papiernicze do drukarek i kserokopiarek - 9.000 zł</t>
  </si>
  <si>
    <t>prasa, czasopisma, wydawnictwa prawne, poradniki - 20.000 zł</t>
  </si>
  <si>
    <t>paliwo, oleje, części zamienne do samochodów - 22.000 zł</t>
  </si>
  <si>
    <t>części zamienne do urządzeń biurowych (kserokopiarki, maszyny liczące, niszczarki) - 2.000 zł</t>
  </si>
  <si>
    <t>akcesoria komputerowe, modernizacja posiadanych komputerów - 5.000 zł</t>
  </si>
  <si>
    <t>użytkowe programy komputerowe - 10.000 zł</t>
  </si>
  <si>
    <t>wydatki rzeczowe związane z organizacją spotkań i uroczystości (art. spożywcze, kwiaty) - 5.000 zł</t>
  </si>
  <si>
    <t>używana kserokopiarka - 8.000 zł</t>
  </si>
  <si>
    <t>2 niszczarki dokumentów i nośników danych - 5.500 zł</t>
  </si>
  <si>
    <t>opłaty za przesyłki listowe i pocztowe - 55.000 zł</t>
  </si>
  <si>
    <t>opłaty za telefony komórkowe - 11.000 zł</t>
  </si>
  <si>
    <t>opłaty za telefony stacjonarne - 46.000 zł</t>
  </si>
  <si>
    <t>opłaty za Internet - 5.000 zł</t>
  </si>
  <si>
    <t>naprawy, przeglądy, konserwacja urządzeń biurowych - 5.000 zł</t>
  </si>
  <si>
    <t>naprawy i przeglądy  samochodów służbowych - 2.000 zł</t>
  </si>
  <si>
    <t>oprawa dzienników ustaw oraz dokumentacji archiwalnej - 4.000 zł</t>
  </si>
  <si>
    <t>adaptacja samochodu Renault z wersji 6-osobowej na 9-osobową - 12.000 zł</t>
  </si>
  <si>
    <t>ogłoszenia prasowe - 4.000 zł</t>
  </si>
  <si>
    <t>abonament roczny komputerowego zbioru przepisów prawnych LEX -  9.000 zł</t>
  </si>
  <si>
    <t>udział gminy w programie "Przejrzysta Polska" - wydanie i kolportaż broszury informacyjnej na temat budżetu gminy Łęczna - 2.500 zł</t>
  </si>
  <si>
    <t>udział gminy w stowarzyszeniach - składki członkowskie - 5.000 zł</t>
  </si>
  <si>
    <t>ubezpieczenia budynków, mienia, samochodów, kierowców - 15.000 zł</t>
  </si>
  <si>
    <t>zakup piecy gazowych do kotłowni - 20.000 zł</t>
  </si>
  <si>
    <t>zakup nowych zestawów komputerowych, drukarek - 80.000 zł</t>
  </si>
  <si>
    <t>elektroniczny obieg dokumentów - 80.000 zł</t>
  </si>
  <si>
    <t>zakupy związane z promocją (zakup materiałów promocyjnych związanych z jubileuszem 540-lecia miasta Łęczna, puchary, nagrody, publikacje, ogłoszenia promocyjne, papier firmowy) - 94.500 zł</t>
  </si>
  <si>
    <t>usługi związane z promocją (rozbudowa strony internetowej) - 25.000 zł</t>
  </si>
  <si>
    <t>* zgodnie z załozeniami</t>
  </si>
  <si>
    <t>Prognoza kwoty długu i spłat na rok 2007 i lata następne</t>
  </si>
  <si>
    <t>w złotych</t>
  </si>
  <si>
    <t>Wyszczególnienie</t>
  </si>
  <si>
    <t>Kwota długu na dzień 31.12.2006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</si>
  <si>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</si>
  <si>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</si>
  <si>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</si>
  <si>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</si>
  <si>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</si>
  <si>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</si>
  <si>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</si>
  <si>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</si>
  <si>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</si>
  <si>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</si>
  <si>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</si>
  <si>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</si>
  <si>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</si>
  <si>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</si>
  <si>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</si>
  <si>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</si>
  <si>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</si>
  <si>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</si>
  <si>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</si>
  <si>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</si>
  <si>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</si>
  <si>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</si>
  <si>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</si>
  <si>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</si>
  <si>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</si>
  <si>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</si>
  <si>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</si>
  <si>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</si>
  <si>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</si>
  <si>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</si>
  <si>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</si>
  <si>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</si>
  <si>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</si>
  <si>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</si>
  <si>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</si>
  <si>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</si>
  <si>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</si>
  <si>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</si>
  <si>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</si>
  <si>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</si>
  <si>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</si>
  <si>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</si>
  <si>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t>6.3</t>
  </si>
  <si>
    <t>6.4</t>
  </si>
  <si>
    <t>Wpływy środków z WFOŚiGW, WIOŚ, Urzędu Marszałkowskiego w Lublinie</t>
  </si>
  <si>
    <t>Kary, mandaty i inne kary od ludności</t>
  </si>
  <si>
    <t>Ł ą c z n i e   p r z y c h o d y</t>
  </si>
  <si>
    <t>WYDATKI:</t>
  </si>
  <si>
    <t>Edukacja ekologiczna</t>
  </si>
  <si>
    <t>Edukacja ekologiczna oraz propagowanie działań proekologicznych i zasady zrównowazonego rozwoju</t>
  </si>
  <si>
    <t>Urządzanie i utrzymywanie terenów zieleni, zadrzewień, zakrzewień oraz parków</t>
  </si>
  <si>
    <t>Realizacja przedsięwzięć związanych z gospodarką odpadami i ochroną powierzchni ziemi</t>
  </si>
  <si>
    <t>Zadania służące ochronie środowiska i gospodarce wodnej</t>
  </si>
  <si>
    <t>Realizowanie zadań inwestycyjnych i modernizacyjnych służących ochronie środowiska</t>
  </si>
  <si>
    <t>Koszty i prowizje bankowe od prowadzonego rachunku bankowego</t>
  </si>
  <si>
    <t>Ł ą c z n i e   w y d a t k i</t>
  </si>
  <si>
    <t>Przychody</t>
  </si>
  <si>
    <t>Zakres dotacji</t>
  </si>
  <si>
    <t>Wydatki</t>
  </si>
  <si>
    <t>dotacje z budżetu</t>
  </si>
  <si>
    <t>wpłata do budżetu</t>
  </si>
  <si>
    <t xml:space="preserve">Dz. 801, rozdz. 80104 </t>
  </si>
  <si>
    <t>Publiczne Przedszkole Nr 1</t>
  </si>
  <si>
    <t>Publiczne Przedszkole Nr 2</t>
  </si>
  <si>
    <t>Publiczne Przedszkole Nr 3</t>
  </si>
  <si>
    <t>Publiczne Przedszkole Nr 5</t>
  </si>
  <si>
    <t>O G Ó Ł E M  - 801, 80104</t>
  </si>
  <si>
    <t xml:space="preserve">Dz. 801, rozdz. 80146 </t>
  </si>
  <si>
    <t>Środki na 11,09 etatu</t>
  </si>
  <si>
    <t>O G Ó Ł E M  801, rozdz. 80146</t>
  </si>
  <si>
    <t>RAZEM Dział 801</t>
  </si>
  <si>
    <t>Nazwa programu/projektu</t>
  </si>
  <si>
    <t>Dz. 600, rozdz. 60016</t>
  </si>
  <si>
    <t>Dz. 854, rozdz. 85415</t>
  </si>
  <si>
    <t>Nazwa zadania inwestycyjnego</t>
  </si>
  <si>
    <t>Dz., Rozdz.</t>
  </si>
  <si>
    <t>Rok rozp./ Rok zak.</t>
  </si>
  <si>
    <t>Wysokość wydatków</t>
  </si>
  <si>
    <t>RAZEM DZIAŁ 600</t>
  </si>
  <si>
    <t>Dz. 700, rozdz. 70005</t>
  </si>
  <si>
    <t xml:space="preserve">Doprowadzenie gazu do budynku ul. Przemysłowa 4 wraz z wymianą wewnętrzenej instalacji gazowej </t>
  </si>
  <si>
    <t>RAZEM DZIAŁ 700</t>
  </si>
  <si>
    <t>Dz. 750, rozdz. 75023</t>
  </si>
  <si>
    <t>RAZEM DZIAŁ 750</t>
  </si>
  <si>
    <t>Dz. 754, rozdz. 75412</t>
  </si>
  <si>
    <t>Dz. 900, rozdz. 90015</t>
  </si>
  <si>
    <t>Odpis na Zakładowy Fundusz Świadczeń Socjalnych    (wg stanu przec. wynagr.2.099,14 zł) dla zatrudnionych osób wynosi 58.251,34 zł odjąć kwotę            zł, tj. kwotę zabezpieczoną przez UW Lublin =           zł</t>
  </si>
  <si>
    <t>Stan zatrudnienia na dzień 31.10.2006 roku wynosi 4 osoby. Plus planowane zatrudnienie dodatkowych 4 osób.</t>
  </si>
  <si>
    <t xml:space="preserve">Fundusz nagród - 3 %  wynosi 5.455 zł </t>
  </si>
  <si>
    <t>Zakładowy Fundusz Nagród (tzw. "13") - 8,5 % od należnych wynagrodzeń dla pracowników  wynosi  6.120 zł</t>
  </si>
  <si>
    <t>Składki ZUS i Fundusz Pracy - 19,68 % od wynagrodzeń     i od tzw. "13" wynosi  38.074 zł</t>
  </si>
  <si>
    <t>Lp</t>
  </si>
  <si>
    <t>Dział</t>
  </si>
  <si>
    <t>NAZWA DZIAŁU    -  tytuł</t>
  </si>
  <si>
    <t>Inkaso dla sołtysów i inkasentów oraz wydatki związane z doręczeniem nakazów podatkowych</t>
  </si>
  <si>
    <t>- remonty w budynkach szkoły - 200.000 zł</t>
  </si>
  <si>
    <t>- wynagrodzenia i pochodne - 3.086.000 zł</t>
  </si>
  <si>
    <t>- środki na realizację wydatków pochodzące z dochodów realizowanych przez szkoły - 32.760 zł</t>
  </si>
  <si>
    <t>- konkurs matematyczny - 500 zł</t>
  </si>
  <si>
    <t>- Olimpiada o zdrowiu - 1.500 zł</t>
  </si>
  <si>
    <t>- Turniej Rowerowy o Puchar Burmistrza - 1.500 zł</t>
  </si>
  <si>
    <t>- Konkurs szkolny o Papieżu Janie Pawle II - 2.000 zł</t>
  </si>
  <si>
    <t>- pozostałe wydatki bieżące - 516.740 zł</t>
  </si>
  <si>
    <t>- wynagrodzenia i pochodne - 389.000 zł</t>
  </si>
  <si>
    <t>- pomoc zdrowotna dla nauczycieli zgodnie z art. 72 ust.1 ustawy Karta Nauczyciela - 500 zł</t>
  </si>
  <si>
    <t>- pozostałe wydatki bieżące - 94.000 zł</t>
  </si>
  <si>
    <t>- wynagrodzenia i pochodne - 378.000 zł</t>
  </si>
  <si>
    <t>- środki na realizację wydatków pochodzące z dochodów realizowanych przez szkoły - 4.805 zł</t>
  </si>
  <si>
    <t>- pozostałe wydatki bieżące - 102.695 zł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</si>
</sst>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(#,##0\)"/>
    <numFmt numFmtId="165" formatCode="#,##0.0_);\(#,##0.0\)"/>
    <numFmt numFmtId="166" formatCode="0.0%"/>
    <numFmt numFmtId="167" formatCode="#,##0.00_);\(#,##0.00\)"/>
    <numFmt numFmtId="168" formatCode="#,##0&quot;zł&quot;_);\(#,##0&quot;zł&quot;\)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#,##0.000_);\(#,##0.000\)"/>
    <numFmt numFmtId="173" formatCode="#,##0.00\ _z_ł"/>
    <numFmt numFmtId="174" formatCode="00\-000"/>
    <numFmt numFmtId="175" formatCode="0.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#,##0.00\ &quot;zł&quot;;[Red]#,##0.00\ &quot;zł&quot;"/>
    <numFmt numFmtId="181" formatCode="#,##0.00_ ;\-#,##0.00\ "/>
    <numFmt numFmtId="182" formatCode="_-* #,##0\ &quot;zł&quot;_-;\-* #,##0\ &quot;zł&quot;_-;_-* &quot;-&quot;??\ &quot;zł&quot;_-;_-@_-"/>
    <numFmt numFmtId="183" formatCode="_-* #,##0.0\ &quot;zł&quot;_-;\-* #,##0.0\ &quot;zł&quot;_-;_-* &quot;-&quot;??\ &quot;zł&quot;_-;_-@_-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#,##0.000"/>
    <numFmt numFmtId="190" formatCode="#,##0\ &quot;zł&quot;"/>
    <numFmt numFmtId="191" formatCode="#,##0_ ;\-#,##0\ "/>
    <numFmt numFmtId="192" formatCode="#,##0\ [$zł-415];\-#,##0\ [$zł-415]"/>
    <numFmt numFmtId="193" formatCode="#,##0.00\ [$zł-415];[Red]\-#,##0.00\ [$zł-415]"/>
    <numFmt numFmtId="194" formatCode="#,##0.00&quot; zł &quot;;\-#,##0.00&quot; zł &quot;;&quot; -&quot;#&quot; zł &quot;;@\ "/>
    <numFmt numFmtId="195" formatCode="#,##0&quot; zł &quot;;\-#,##0&quot; zł &quot;;&quot; -&quot;#&quot; zł &quot;;@\ "/>
    <numFmt numFmtId="196" formatCode="[$€-2]\ #,##0.00_);[Red]\([$€-2]\ #,##0.00\)"/>
    <numFmt numFmtId="197" formatCode="#,##0.00\ &quot;zł&quot;"/>
    <numFmt numFmtId="198" formatCode="#,##0\ _z_ł"/>
    <numFmt numFmtId="199" formatCode="_-* #,##0.00,_z_ł_-;\-* #,##0.00,_z_ł_-;_-* \-??\ _z_ł_-;_-@_-"/>
  </numFmts>
  <fonts count="98">
    <font>
      <sz val="10"/>
      <name val="Arial CE"/>
      <family val="0"/>
    </font>
    <font>
      <b/>
      <sz val="12"/>
      <name val="Arial CE"/>
      <family val="2"/>
    </font>
    <font>
      <u val="single"/>
      <sz val="11.4"/>
      <color indexed="12"/>
      <name val="Arial CE"/>
      <family val="0"/>
    </font>
    <font>
      <sz val="12"/>
      <name val="Arial CE"/>
      <family val="0"/>
    </font>
    <font>
      <u val="single"/>
      <sz val="11.4"/>
      <color indexed="36"/>
      <name val="Arial CE"/>
      <family val="0"/>
    </font>
    <font>
      <sz val="11"/>
      <name val="Times New Roman CE"/>
      <family val="1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u val="single"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57"/>
      <name val="Times New Roman"/>
      <family val="1"/>
    </font>
    <font>
      <b/>
      <sz val="18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  <font>
      <b/>
      <i/>
      <sz val="18"/>
      <name val="Times New Roman"/>
      <family val="1"/>
    </font>
    <font>
      <sz val="18"/>
      <color indexed="8"/>
      <name val="Times New Roman"/>
      <family val="1"/>
    </font>
    <font>
      <strike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i/>
      <vertAlign val="superscript"/>
      <sz val="18"/>
      <name val="Times New Roman"/>
      <family val="1"/>
    </font>
    <font>
      <sz val="18"/>
      <color indexed="9"/>
      <name val="Times New Roman"/>
      <family val="1"/>
    </font>
    <font>
      <b/>
      <sz val="18"/>
      <color indexed="9"/>
      <name val="Times New Roman"/>
      <family val="1"/>
    </font>
    <font>
      <sz val="14"/>
      <color indexed="9"/>
      <name val="Times New Roman"/>
      <family val="1"/>
    </font>
    <font>
      <sz val="14"/>
      <name val="Arial CE"/>
      <family val="2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0"/>
    </font>
    <font>
      <sz val="9"/>
      <name val="Arial CE"/>
      <family val="0"/>
    </font>
    <font>
      <sz val="7"/>
      <name val="Times New Roman CE"/>
      <family val="1"/>
    </font>
    <font>
      <b/>
      <sz val="14"/>
      <name val="Arial CE"/>
      <family val="2"/>
    </font>
    <font>
      <b/>
      <sz val="9"/>
      <name val="Arial CE"/>
      <family val="2"/>
    </font>
    <font>
      <sz val="13"/>
      <name val="Times New Roman CE"/>
      <family val="1"/>
    </font>
    <font>
      <sz val="9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sz val="14"/>
      <color indexed="9"/>
      <name val="Arial CE"/>
      <family val="2"/>
    </font>
    <font>
      <sz val="6"/>
      <color indexed="9"/>
      <name val="Times New Roman CE"/>
      <family val="1"/>
    </font>
    <font>
      <b/>
      <sz val="11"/>
      <name val="Arial CE"/>
      <family val="2"/>
    </font>
    <font>
      <sz val="8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b/>
      <sz val="16"/>
      <color indexed="9"/>
      <name val="Arial CE"/>
      <family val="2"/>
    </font>
    <font>
      <b/>
      <sz val="13"/>
      <color indexed="9"/>
      <name val="Arial CE"/>
      <family val="2"/>
    </font>
    <font>
      <b/>
      <sz val="12"/>
      <color indexed="9"/>
      <name val="Arial CE"/>
      <family val="2"/>
    </font>
    <font>
      <i/>
      <sz val="15"/>
      <name val="Times New Roman CE"/>
      <family val="0"/>
    </font>
    <font>
      <i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sz val="15"/>
      <name val="Arial CE"/>
      <family val="2"/>
    </font>
    <font>
      <sz val="9"/>
      <color indexed="9"/>
      <name val="Arial CE"/>
      <family val="2"/>
    </font>
    <font>
      <b/>
      <sz val="15"/>
      <color indexed="9"/>
      <name val="Arial CE"/>
      <family val="2"/>
    </font>
    <font>
      <sz val="9"/>
      <color indexed="9"/>
      <name val="Times New Roman CE"/>
      <family val="1"/>
    </font>
    <font>
      <sz val="8"/>
      <name val="Arial CE"/>
      <family val="2"/>
    </font>
    <font>
      <sz val="17"/>
      <name val="Arial CE"/>
      <family val="2"/>
    </font>
    <font>
      <sz val="6"/>
      <name val="Arial CE"/>
      <family val="2"/>
    </font>
    <font>
      <sz val="14"/>
      <name val="Times New Roman CE"/>
      <family val="1"/>
    </font>
    <font>
      <b/>
      <sz val="13"/>
      <name val="Arial CE"/>
      <family val="2"/>
    </font>
    <font>
      <sz val="13"/>
      <name val="Arial"/>
      <family val="2"/>
    </font>
    <font>
      <sz val="13"/>
      <name val="Arial CE"/>
      <family val="2"/>
    </font>
    <font>
      <sz val="14"/>
      <name val="Arial"/>
      <family val="2"/>
    </font>
    <font>
      <sz val="12"/>
      <color indexed="9"/>
      <name val="Arial CE"/>
      <family val="2"/>
    </font>
    <font>
      <sz val="10"/>
      <name val="Arial"/>
      <family val="2"/>
    </font>
    <font>
      <sz val="16"/>
      <name val="Arial"/>
      <family val="2"/>
    </font>
    <font>
      <sz val="16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b/>
      <sz val="17"/>
      <name val="Arial CE"/>
      <family val="2"/>
    </font>
    <font>
      <b/>
      <i/>
      <sz val="30"/>
      <name val="Times New Roman CE"/>
      <family val="1"/>
    </font>
    <font>
      <b/>
      <sz val="10"/>
      <name val="Arial CE"/>
      <family val="2"/>
    </font>
    <font>
      <b/>
      <i/>
      <sz val="15"/>
      <name val="Times New Roman CE"/>
      <family val="1"/>
    </font>
    <font>
      <sz val="15"/>
      <name val="Times New Roman CE"/>
      <family val="1"/>
    </font>
    <font>
      <b/>
      <sz val="15"/>
      <name val="Arial CE"/>
      <family val="0"/>
    </font>
    <font>
      <b/>
      <sz val="18"/>
      <name val="Times New Roman CE"/>
      <family val="1"/>
    </font>
    <font>
      <b/>
      <sz val="16"/>
      <name val="Times New Roman"/>
      <family val="1"/>
    </font>
    <font>
      <b/>
      <sz val="15"/>
      <name val="Times New Roman CE"/>
      <family val="1"/>
    </font>
    <font>
      <sz val="8"/>
      <name val="Arial"/>
      <family val="0"/>
    </font>
    <font>
      <i/>
      <sz val="12"/>
      <name val="Arial CE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i/>
      <u val="single"/>
      <sz val="18"/>
      <name val="Times New Roman"/>
      <family val="1"/>
    </font>
    <font>
      <b/>
      <sz val="10"/>
      <name val="Times New Roman"/>
      <family val="1"/>
    </font>
    <font>
      <i/>
      <sz val="10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/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>
        <color indexed="8"/>
      </right>
      <top style="dotted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indexed="8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dotted"/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tted"/>
    </border>
    <border>
      <left style="thin"/>
      <right style="thin"/>
      <top style="dotted"/>
      <bottom style="thin">
        <color indexed="8"/>
      </bottom>
    </border>
    <border>
      <left>
        <color indexed="63"/>
      </left>
      <right style="thin"/>
      <top style="dotted"/>
      <bottom style="thin">
        <color indexed="8"/>
      </bottom>
    </border>
    <border>
      <left style="thin"/>
      <right style="thin">
        <color indexed="8"/>
      </right>
      <top style="dotted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>
        <color indexed="8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>
        <color indexed="8"/>
      </left>
      <right style="thin">
        <color indexed="8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>
        <color indexed="8"/>
      </right>
      <top style="thin"/>
      <bottom style="dotted"/>
    </border>
    <border>
      <left style="thin">
        <color indexed="8"/>
      </left>
      <right style="thin">
        <color indexed="8"/>
      </right>
      <top style="thin">
        <color indexed="22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8"/>
      </top>
      <bottom style="dotted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>
        <color indexed="8"/>
      </right>
      <top style="thin">
        <color indexed="22"/>
      </top>
      <bottom style="thin"/>
    </border>
    <border>
      <left style="thin"/>
      <right style="thin">
        <color indexed="8"/>
      </right>
      <top>
        <color indexed="63"/>
      </top>
      <bottom style="thin">
        <color indexed="22"/>
      </bottom>
    </border>
    <border>
      <left style="thin"/>
      <right style="thin">
        <color indexed="8"/>
      </right>
      <top style="thin">
        <color indexed="22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/>
    </border>
    <border>
      <left style="thin"/>
      <right style="thin"/>
      <top style="dotted">
        <color indexed="8"/>
      </top>
      <bottom style="dotted"/>
    </border>
    <border>
      <left>
        <color indexed="63"/>
      </left>
      <right style="thin"/>
      <top style="dotted">
        <color indexed="8"/>
      </top>
      <bottom style="dotted"/>
    </border>
    <border>
      <left style="thin"/>
      <right style="thin">
        <color indexed="8"/>
      </right>
      <top style="dotted">
        <color indexed="8"/>
      </top>
      <bottom style="dotted"/>
    </border>
    <border>
      <left style="thin"/>
      <right style="thin"/>
      <top style="thin">
        <color indexed="8"/>
      </top>
      <bottom style="dotted"/>
    </border>
    <border>
      <left>
        <color indexed="63"/>
      </left>
      <right style="thin"/>
      <top style="thin">
        <color indexed="8"/>
      </top>
      <bottom style="dott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dotted"/>
      <bottom style="thin">
        <color indexed="8"/>
      </bottom>
    </border>
    <border>
      <left style="thin"/>
      <right>
        <color indexed="63"/>
      </right>
      <top style="thin">
        <color indexed="8"/>
      </top>
      <bottom style="dotted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/>
      <bottom style="thin"/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hair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2" borderId="1">
      <alignment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>
      <alignment vertical="center" wrapText="1"/>
      <protection/>
    </xf>
  </cellStyleXfs>
  <cellXfs count="2066">
    <xf numFmtId="0" fontId="0" fillId="0" borderId="0" xfId="0" applyAlignment="1">
      <alignment/>
    </xf>
    <xf numFmtId="0" fontId="3" fillId="0" borderId="0" xfId="20">
      <alignment/>
      <protection/>
    </xf>
    <xf numFmtId="0" fontId="9" fillId="0" borderId="0" xfId="25" applyFont="1" applyAlignment="1">
      <alignment vertical="center"/>
      <protection/>
    </xf>
    <xf numFmtId="0" fontId="10" fillId="0" borderId="0" xfId="25" applyFont="1" applyAlignment="1">
      <alignment vertical="center"/>
      <protection/>
    </xf>
    <xf numFmtId="0" fontId="11" fillId="0" borderId="0" xfId="25" applyFont="1" applyAlignment="1">
      <alignment vertical="center"/>
      <protection/>
    </xf>
    <xf numFmtId="0" fontId="16" fillId="0" borderId="0" xfId="25" applyFont="1" applyAlignment="1">
      <alignment vertical="center"/>
      <protection/>
    </xf>
    <xf numFmtId="0" fontId="9" fillId="0" borderId="0" xfId="25" applyFont="1" applyFill="1" applyAlignment="1">
      <alignment vertical="center"/>
      <protection/>
    </xf>
    <xf numFmtId="0" fontId="9" fillId="0" borderId="0" xfId="25" applyFont="1" applyFill="1" applyBorder="1" applyAlignment="1">
      <alignment vertical="center"/>
      <protection/>
    </xf>
    <xf numFmtId="0" fontId="11" fillId="0" borderId="0" xfId="25" applyFont="1" applyAlignment="1">
      <alignment horizontal="center" vertical="center"/>
      <protection/>
    </xf>
    <xf numFmtId="0" fontId="8" fillId="0" borderId="0" xfId="25" applyFont="1" applyAlignment="1">
      <alignment vertical="center"/>
      <protection/>
    </xf>
    <xf numFmtId="0" fontId="12" fillId="0" borderId="0" xfId="25" applyFont="1" applyAlignment="1">
      <alignment vertical="center"/>
      <protection/>
    </xf>
    <xf numFmtId="0" fontId="12" fillId="0" borderId="0" xfId="25" applyFont="1" applyBorder="1" applyAlignment="1">
      <alignment vertical="center"/>
      <protection/>
    </xf>
    <xf numFmtId="0" fontId="8" fillId="0" borderId="0" xfId="25" applyFont="1" applyBorder="1" applyAlignment="1">
      <alignment vertical="center"/>
      <protection/>
    </xf>
    <xf numFmtId="0" fontId="19" fillId="0" borderId="0" xfId="25" applyFont="1" applyAlignment="1">
      <alignment vertical="center"/>
      <protection/>
    </xf>
    <xf numFmtId="0" fontId="12" fillId="3" borderId="3" xfId="28" applyFont="1" applyFill="1" applyBorder="1" applyAlignment="1">
      <alignment horizontal="center" vertical="center" wrapText="1"/>
      <protection/>
    </xf>
    <xf numFmtId="0" fontId="12" fillId="3" borderId="3" xfId="28" applyFont="1" applyFill="1" applyBorder="1" applyAlignment="1">
      <alignment vertical="center" wrapText="1"/>
      <protection/>
    </xf>
    <xf numFmtId="3" fontId="12" fillId="3" borderId="3" xfId="28" applyNumberFormat="1" applyFont="1" applyFill="1" applyBorder="1" applyAlignment="1">
      <alignment horizontal="right" vertical="center" wrapText="1"/>
      <protection/>
    </xf>
    <xf numFmtId="0" fontId="11" fillId="0" borderId="4" xfId="20" applyFont="1" applyBorder="1" applyAlignment="1" applyProtection="1">
      <alignment horizontal="center" vertical="center"/>
      <protection/>
    </xf>
    <xf numFmtId="0" fontId="9" fillId="0" borderId="0" xfId="20" applyFont="1">
      <alignment/>
      <protection/>
    </xf>
    <xf numFmtId="0" fontId="12" fillId="3" borderId="1" xfId="28" applyFont="1" applyFill="1" applyAlignment="1">
      <alignment horizontal="left" vertical="center" wrapText="1"/>
      <protection/>
    </xf>
    <xf numFmtId="0" fontId="12" fillId="3" borderId="1" xfId="28" applyFont="1" applyFill="1" applyBorder="1" applyAlignment="1">
      <alignment horizontal="center" vertical="center" wrapText="1"/>
      <protection/>
    </xf>
    <xf numFmtId="0" fontId="12" fillId="3" borderId="1" xfId="28" applyFont="1" applyFill="1" applyAlignment="1">
      <alignment horizontal="center" vertical="center" wrapText="1"/>
      <protection/>
    </xf>
    <xf numFmtId="0" fontId="9" fillId="0" borderId="4" xfId="20" applyFont="1" applyBorder="1" applyAlignment="1" applyProtection="1">
      <alignment horizontal="center" vertical="center"/>
      <protection/>
    </xf>
    <xf numFmtId="0" fontId="9" fillId="0" borderId="0" xfId="20" applyFont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9" fillId="0" borderId="0" xfId="20" applyFont="1" applyBorder="1" applyAlignment="1" applyProtection="1">
      <alignment horizontal="center" vertical="center"/>
      <protection/>
    </xf>
    <xf numFmtId="0" fontId="9" fillId="0" borderId="5" xfId="20" applyFont="1" applyBorder="1" applyAlignment="1" applyProtection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9" fillId="0" borderId="0" xfId="20" applyFont="1" applyAlignment="1">
      <alignment horizontal="left" vertical="center"/>
      <protection/>
    </xf>
    <xf numFmtId="4" fontId="3" fillId="0" borderId="6" xfId="20" applyNumberFormat="1" applyFont="1" applyBorder="1" applyAlignment="1" applyProtection="1">
      <alignment horizontal="right" vertical="center"/>
      <protection/>
    </xf>
    <xf numFmtId="4" fontId="3" fillId="0" borderId="6" xfId="20" applyNumberFormat="1" applyFont="1" applyBorder="1" applyAlignment="1" applyProtection="1">
      <alignment horizontal="right"/>
      <protection/>
    </xf>
    <xf numFmtId="4" fontId="3" fillId="0" borderId="0" xfId="20" applyNumberFormat="1" applyAlignment="1">
      <alignment horizontal="right"/>
      <protection/>
    </xf>
    <xf numFmtId="4" fontId="9" fillId="0" borderId="0" xfId="31" applyNumberFormat="1" applyFont="1" applyBorder="1" applyAlignment="1">
      <alignment horizontal="right" vertical="center" wrapText="1"/>
      <protection/>
    </xf>
    <xf numFmtId="4" fontId="6" fillId="0" borderId="0" xfId="20" applyNumberFormat="1" applyFont="1" applyBorder="1" applyAlignment="1" applyProtection="1">
      <alignment horizontal="right" wrapText="1"/>
      <protection/>
    </xf>
    <xf numFmtId="4" fontId="9" fillId="0" borderId="0" xfId="20" applyNumberFormat="1" applyFont="1" applyBorder="1" applyAlignment="1" applyProtection="1">
      <alignment horizontal="right" wrapText="1"/>
      <protection/>
    </xf>
    <xf numFmtId="4" fontId="6" fillId="0" borderId="0" xfId="20" applyNumberFormat="1" applyFont="1" applyBorder="1" applyAlignment="1" applyProtection="1">
      <alignment horizontal="right"/>
      <protection/>
    </xf>
    <xf numFmtId="4" fontId="3" fillId="0" borderId="0" xfId="20" applyNumberFormat="1" applyAlignment="1" applyProtection="1">
      <alignment horizontal="right"/>
      <protection/>
    </xf>
    <xf numFmtId="4" fontId="3" fillId="0" borderId="6" xfId="20" applyNumberFormat="1" applyBorder="1" applyAlignment="1">
      <alignment horizontal="right"/>
      <protection/>
    </xf>
    <xf numFmtId="0" fontId="11" fillId="0" borderId="0" xfId="20" applyFont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11" fillId="0" borderId="0" xfId="20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9" fillId="0" borderId="0" xfId="20" applyFont="1" applyFill="1" applyBorder="1" applyAlignment="1">
      <alignment vertical="center"/>
      <protection/>
    </xf>
    <xf numFmtId="0" fontId="9" fillId="4" borderId="0" xfId="20" applyFont="1" applyFill="1" applyBorder="1" applyAlignment="1">
      <alignment vertical="center"/>
      <protection/>
    </xf>
    <xf numFmtId="0" fontId="16" fillId="0" borderId="0" xfId="20" applyFont="1" applyBorder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1" fillId="0" borderId="0" xfId="0" applyFont="1" applyAlignment="1">
      <alignment vertical="center"/>
    </xf>
    <xf numFmtId="0" fontId="14" fillId="0" borderId="0" xfId="20" applyFont="1" applyBorder="1" applyAlignment="1">
      <alignment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8" fillId="0" borderId="7" xfId="20" applyFont="1" applyFill="1" applyBorder="1" applyAlignment="1">
      <alignment vertical="center"/>
      <protection/>
    </xf>
    <xf numFmtId="0" fontId="8" fillId="4" borderId="7" xfId="20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8" fillId="2" borderId="0" xfId="20" applyFont="1" applyFill="1" applyAlignment="1">
      <alignment vertical="center"/>
      <protection/>
    </xf>
    <xf numFmtId="0" fontId="9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4" fillId="0" borderId="0" xfId="20" applyFont="1" applyFill="1" applyAlignment="1">
      <alignment vertical="center"/>
      <protection/>
    </xf>
    <xf numFmtId="0" fontId="14" fillId="4" borderId="0" xfId="20" applyFont="1" applyFill="1" applyAlignment="1">
      <alignment vertical="center"/>
      <protection/>
    </xf>
    <xf numFmtId="0" fontId="9" fillId="0" borderId="8" xfId="28" applyFont="1" applyFill="1" applyBorder="1" applyAlignment="1">
      <alignment horizontal="left" vertical="center" wrapText="1"/>
      <protection/>
    </xf>
    <xf numFmtId="4" fontId="10" fillId="0" borderId="0" xfId="25" applyNumberFormat="1" applyFont="1" applyAlignment="1">
      <alignment vertical="center"/>
      <protection/>
    </xf>
    <xf numFmtId="0" fontId="8" fillId="0" borderId="9" xfId="20" applyFont="1" applyFill="1" applyBorder="1" applyAlignment="1">
      <alignment vertical="center"/>
      <protection/>
    </xf>
    <xf numFmtId="4" fontId="9" fillId="0" borderId="6" xfId="20" applyNumberFormat="1" applyFont="1" applyBorder="1" applyAlignment="1" applyProtection="1">
      <alignment horizontal="right" vertical="center"/>
      <protection/>
    </xf>
    <xf numFmtId="4" fontId="9" fillId="0" borderId="0" xfId="25" applyNumberFormat="1" applyFont="1" applyBorder="1" applyAlignment="1">
      <alignment vertical="center"/>
      <protection/>
    </xf>
    <xf numFmtId="4" fontId="11" fillId="0" borderId="0" xfId="25" applyNumberFormat="1" applyFont="1" applyAlignment="1">
      <alignment vertical="center"/>
      <protection/>
    </xf>
    <xf numFmtId="4" fontId="12" fillId="0" borderId="0" xfId="25" applyNumberFormat="1" applyFont="1" applyAlignment="1">
      <alignment vertical="center"/>
      <protection/>
    </xf>
    <xf numFmtId="4" fontId="11" fillId="0" borderId="0" xfId="25" applyNumberFormat="1" applyFont="1" applyBorder="1" applyAlignment="1">
      <alignment vertical="center"/>
      <protection/>
    </xf>
    <xf numFmtId="4" fontId="12" fillId="0" borderId="0" xfId="25" applyNumberFormat="1" applyFont="1" applyBorder="1" applyAlignment="1">
      <alignment vertical="center"/>
      <protection/>
    </xf>
    <xf numFmtId="4" fontId="9" fillId="0" borderId="0" xfId="31" applyNumberFormat="1" applyFont="1" applyBorder="1" applyAlignment="1">
      <alignment horizontal="left" vertical="center" wrapText="1"/>
      <protection/>
    </xf>
    <xf numFmtId="4" fontId="11" fillId="0" borderId="0" xfId="25" applyNumberFormat="1" applyFont="1" applyFill="1" applyAlignment="1">
      <alignment vertical="center"/>
      <protection/>
    </xf>
    <xf numFmtId="4" fontId="7" fillId="0" borderId="0" xfId="31" applyNumberFormat="1" applyFont="1" applyBorder="1" applyAlignment="1">
      <alignment horizontal="center" vertical="center" wrapText="1"/>
      <protection/>
    </xf>
    <xf numFmtId="0" fontId="9" fillId="0" borderId="0" xfId="20" applyFont="1" applyBorder="1" applyAlignment="1" applyProtection="1">
      <alignment horizontal="left" wrapText="1"/>
      <protection/>
    </xf>
    <xf numFmtId="0" fontId="6" fillId="0" borderId="0" xfId="20" applyFont="1" applyBorder="1" applyAlignment="1" applyProtection="1">
      <alignment horizontal="left" wrapText="1"/>
      <protection/>
    </xf>
    <xf numFmtId="0" fontId="6" fillId="0" borderId="0" xfId="20" applyFont="1" applyBorder="1" applyAlignment="1" applyProtection="1">
      <alignment horizontal="left"/>
      <protection/>
    </xf>
    <xf numFmtId="0" fontId="3" fillId="0" borderId="0" xfId="20" applyBorder="1" applyProtection="1">
      <alignment/>
      <protection/>
    </xf>
    <xf numFmtId="0" fontId="3" fillId="0" borderId="0" xfId="20" applyBorder="1">
      <alignment/>
      <protection/>
    </xf>
    <xf numFmtId="4" fontId="9" fillId="0" borderId="4" xfId="20" applyNumberFormat="1" applyFont="1" applyBorder="1" applyAlignment="1" applyProtection="1">
      <alignment horizontal="right" wrapText="1"/>
      <protection/>
    </xf>
    <xf numFmtId="4" fontId="6" fillId="0" borderId="4" xfId="20" applyNumberFormat="1" applyFont="1" applyBorder="1" applyAlignment="1" applyProtection="1">
      <alignment horizontal="right" wrapText="1"/>
      <protection/>
    </xf>
    <xf numFmtId="4" fontId="6" fillId="0" borderId="4" xfId="20" applyNumberFormat="1" applyFont="1" applyBorder="1" applyAlignment="1" applyProtection="1">
      <alignment horizontal="right"/>
      <protection/>
    </xf>
    <xf numFmtId="4" fontId="3" fillId="0" borderId="4" xfId="20" applyNumberFormat="1" applyBorder="1" applyAlignment="1" applyProtection="1">
      <alignment horizontal="right"/>
      <protection/>
    </xf>
    <xf numFmtId="4" fontId="3" fillId="0" borderId="4" xfId="20" applyNumberFormat="1" applyBorder="1" applyAlignment="1">
      <alignment horizontal="right"/>
      <protection/>
    </xf>
    <xf numFmtId="4" fontId="19" fillId="0" borderId="0" xfId="25" applyNumberFormat="1" applyFont="1" applyAlignment="1">
      <alignment vertical="center"/>
      <protection/>
    </xf>
    <xf numFmtId="4" fontId="19" fillId="0" borderId="0" xfId="25" applyNumberFormat="1" applyFont="1" applyFill="1" applyAlignment="1">
      <alignment vertical="center"/>
      <protection/>
    </xf>
    <xf numFmtId="4" fontId="9" fillId="0" borderId="0" xfId="19" applyNumberFormat="1" applyFont="1" applyAlignment="1">
      <alignment vertical="center"/>
      <protection/>
    </xf>
    <xf numFmtId="4" fontId="9" fillId="0" borderId="0" xfId="25" applyNumberFormat="1" applyFont="1" applyAlignment="1">
      <alignment vertical="center"/>
      <protection/>
    </xf>
    <xf numFmtId="4" fontId="9" fillId="0" borderId="0" xfId="25" applyNumberFormat="1" applyFont="1" applyFill="1" applyAlignment="1">
      <alignment vertical="center"/>
      <protection/>
    </xf>
    <xf numFmtId="4" fontId="9" fillId="0" borderId="0" xfId="25" applyNumberFormat="1" applyFont="1" applyFill="1" applyBorder="1" applyAlignment="1">
      <alignment vertical="center"/>
      <protection/>
    </xf>
    <xf numFmtId="4" fontId="9" fillId="0" borderId="0" xfId="20" applyNumberFormat="1" applyFont="1">
      <alignment/>
      <protection/>
    </xf>
    <xf numFmtId="4" fontId="9" fillId="0" borderId="0" xfId="20" applyNumberFormat="1" applyFont="1" applyAlignment="1" applyProtection="1">
      <alignment horizontal="center" vertical="center"/>
      <protection/>
    </xf>
    <xf numFmtId="4" fontId="9" fillId="0" borderId="0" xfId="20" applyNumberFormat="1" applyFont="1" applyBorder="1" applyAlignment="1" applyProtection="1">
      <alignment horizontal="center" vertical="center"/>
      <protection/>
    </xf>
    <xf numFmtId="4" fontId="9" fillId="0" borderId="0" xfId="20" applyNumberFormat="1" applyFont="1" applyBorder="1" applyAlignment="1" applyProtection="1">
      <alignment horizontal="left" wrapText="1"/>
      <protection/>
    </xf>
    <xf numFmtId="4" fontId="8" fillId="0" borderId="0" xfId="25" applyNumberFormat="1" applyFont="1" applyAlignment="1">
      <alignment vertical="center"/>
      <protection/>
    </xf>
    <xf numFmtId="4" fontId="16" fillId="0" borderId="0" xfId="25" applyNumberFormat="1" applyFont="1" applyBorder="1" applyAlignment="1">
      <alignment vertical="center"/>
      <protection/>
    </xf>
    <xf numFmtId="4" fontId="8" fillId="0" borderId="0" xfId="25" applyNumberFormat="1" applyFont="1" applyFill="1" applyBorder="1" applyAlignment="1">
      <alignment vertical="center"/>
      <protection/>
    </xf>
    <xf numFmtId="4" fontId="11" fillId="0" borderId="0" xfId="25" applyNumberFormat="1" applyFont="1" applyFill="1" applyBorder="1" applyAlignment="1">
      <alignment vertical="center"/>
      <protection/>
    </xf>
    <xf numFmtId="1" fontId="9" fillId="0" borderId="0" xfId="20" applyNumberFormat="1" applyFont="1" applyBorder="1" applyAlignment="1" applyProtection="1">
      <alignment horizontal="center" vertical="center"/>
      <protection/>
    </xf>
    <xf numFmtId="1" fontId="9" fillId="0" borderId="10" xfId="20" applyNumberFormat="1" applyFont="1" applyBorder="1" applyAlignment="1" applyProtection="1">
      <alignment horizontal="center" vertical="center"/>
      <protection/>
    </xf>
    <xf numFmtId="1" fontId="3" fillId="0" borderId="10" xfId="20" applyNumberFormat="1" applyFont="1" applyBorder="1" applyAlignment="1" applyProtection="1">
      <alignment horizontal="center" vertical="center"/>
      <protection/>
    </xf>
    <xf numFmtId="1" fontId="3" fillId="0" borderId="10" xfId="20" applyNumberFormat="1" applyFont="1" applyBorder="1" applyAlignment="1" applyProtection="1">
      <alignment horizontal="center"/>
      <protection/>
    </xf>
    <xf numFmtId="0" fontId="9" fillId="0" borderId="9" xfId="20" applyFont="1" applyBorder="1" applyAlignment="1">
      <alignment vertical="center"/>
      <protection/>
    </xf>
    <xf numFmtId="0" fontId="9" fillId="0" borderId="7" xfId="20" applyFont="1" applyBorder="1" applyAlignment="1">
      <alignment vertical="center"/>
      <protection/>
    </xf>
    <xf numFmtId="3" fontId="14" fillId="0" borderId="0" xfId="20" applyNumberFormat="1" applyFont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8" fillId="0" borderId="0" xfId="20" applyFont="1" applyBorder="1" applyAlignment="1">
      <alignment vertical="center"/>
      <protection/>
    </xf>
    <xf numFmtId="0" fontId="9" fillId="0" borderId="0" xfId="20" applyFont="1" applyBorder="1" applyAlignment="1">
      <alignment horizontal="left" vertical="center"/>
      <protection/>
    </xf>
    <xf numFmtId="0" fontId="9" fillId="0" borderId="4" xfId="20" applyFont="1" applyFill="1" applyBorder="1" applyAlignment="1" applyProtection="1">
      <alignment horizontal="center" vertical="center"/>
      <protection/>
    </xf>
    <xf numFmtId="0" fontId="9" fillId="0" borderId="8" xfId="28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0" borderId="11" xfId="28" applyFont="1" applyFill="1" applyBorder="1" applyAlignment="1">
      <alignment vertical="center" wrapText="1"/>
      <protection/>
    </xf>
    <xf numFmtId="3" fontId="9" fillId="0" borderId="11" xfId="28" applyNumberFormat="1" applyFont="1" applyFill="1" applyBorder="1" applyAlignment="1">
      <alignment horizontal="right" vertical="center" wrapText="1"/>
      <protection/>
    </xf>
    <xf numFmtId="0" fontId="9" fillId="0" borderId="11" xfId="28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14" fillId="3" borderId="5" xfId="28" applyFont="1" applyFill="1" applyBorder="1" applyAlignment="1">
      <alignment horizontal="center" vertical="center" wrapText="1"/>
      <protection/>
    </xf>
    <xf numFmtId="0" fontId="14" fillId="3" borderId="5" xfId="28" applyFont="1" applyFill="1" applyBorder="1" applyAlignment="1">
      <alignment horizontal="left" vertical="center" wrapText="1"/>
      <protection/>
    </xf>
    <xf numFmtId="0" fontId="14" fillId="3" borderId="12" xfId="28" applyFont="1" applyFill="1" applyBorder="1" applyAlignment="1">
      <alignment vertical="center" wrapText="1"/>
      <protection/>
    </xf>
    <xf numFmtId="3" fontId="14" fillId="3" borderId="12" xfId="28" applyNumberFormat="1" applyFont="1" applyFill="1" applyBorder="1" applyAlignment="1">
      <alignment horizontal="right" vertical="center" wrapText="1"/>
      <protection/>
    </xf>
    <xf numFmtId="0" fontId="14" fillId="3" borderId="12" xfId="2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4" fillId="3" borderId="1" xfId="28" applyFont="1" applyFill="1" applyBorder="1" applyAlignment="1">
      <alignment horizontal="center" vertical="center" wrapText="1"/>
      <protection/>
    </xf>
    <xf numFmtId="0" fontId="14" fillId="3" borderId="1" xfId="28" applyFont="1" applyFill="1" applyAlignment="1">
      <alignment horizontal="center" vertical="center" wrapText="1"/>
      <protection/>
    </xf>
    <xf numFmtId="0" fontId="14" fillId="3" borderId="1" xfId="28" applyFont="1" applyFill="1" applyAlignment="1">
      <alignment horizontal="left" vertical="center" wrapText="1"/>
      <protection/>
    </xf>
    <xf numFmtId="0" fontId="14" fillId="3" borderId="3" xfId="28" applyFont="1" applyFill="1" applyBorder="1" applyAlignment="1">
      <alignment vertical="center" wrapText="1"/>
      <protection/>
    </xf>
    <xf numFmtId="3" fontId="14" fillId="3" borderId="3" xfId="28" applyNumberFormat="1" applyFont="1" applyFill="1" applyBorder="1" applyAlignment="1">
      <alignment horizontal="right" vertical="center" wrapText="1"/>
      <protection/>
    </xf>
    <xf numFmtId="0" fontId="14" fillId="3" borderId="3" xfId="28" applyFont="1" applyFill="1" applyBorder="1" applyAlignment="1">
      <alignment horizontal="center" vertical="center" wrapText="1"/>
      <protection/>
    </xf>
    <xf numFmtId="4" fontId="13" fillId="0" borderId="3" xfId="20" applyNumberFormat="1" applyFont="1" applyBorder="1" applyAlignment="1" applyProtection="1">
      <alignment horizontal="center" vertical="center" wrapText="1"/>
      <protection/>
    </xf>
    <xf numFmtId="4" fontId="13" fillId="0" borderId="1" xfId="20" applyNumberFormat="1" applyFont="1" applyBorder="1" applyAlignment="1" applyProtection="1">
      <alignment horizontal="center" vertical="center" wrapText="1"/>
      <protection/>
    </xf>
    <xf numFmtId="4" fontId="13" fillId="0" borderId="13" xfId="20" applyNumberFormat="1" applyFont="1" applyBorder="1" applyAlignment="1" applyProtection="1">
      <alignment horizontal="center" vertical="center" wrapText="1"/>
      <protection/>
    </xf>
    <xf numFmtId="4" fontId="8" fillId="0" borderId="3" xfId="20" applyNumberFormat="1" applyFont="1" applyBorder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Alignment="1">
      <alignment horizontal="center"/>
      <protection/>
    </xf>
    <xf numFmtId="1" fontId="3" fillId="0" borderId="10" xfId="20" applyNumberFormat="1" applyFont="1" applyBorder="1" applyAlignment="1">
      <alignment horizontal="center"/>
      <protection/>
    </xf>
    <xf numFmtId="1" fontId="9" fillId="0" borderId="14" xfId="20" applyNumberFormat="1" applyFont="1" applyBorder="1" applyAlignment="1" applyProtection="1">
      <alignment horizontal="center" vertical="center" wrapText="1"/>
      <protection/>
    </xf>
    <xf numFmtId="1" fontId="9" fillId="0" borderId="15" xfId="20" applyNumberFormat="1" applyFont="1" applyBorder="1" applyAlignment="1" applyProtection="1">
      <alignment horizontal="center" vertical="center"/>
      <protection/>
    </xf>
    <xf numFmtId="0" fontId="9" fillId="0" borderId="16" xfId="20" applyFont="1" applyBorder="1" applyAlignment="1" applyProtection="1">
      <alignment horizontal="center" vertical="center"/>
      <protection/>
    </xf>
    <xf numFmtId="4" fontId="14" fillId="0" borderId="0" xfId="15" applyNumberFormat="1" applyFont="1" applyFill="1" applyBorder="1" applyAlignment="1">
      <alignment horizontal="center" vertical="center" wrapText="1"/>
      <protection/>
    </xf>
    <xf numFmtId="1" fontId="9" fillId="0" borderId="0" xfId="25" applyNumberFormat="1" applyFont="1" applyBorder="1" applyAlignment="1" applyProtection="1">
      <alignment horizontal="center" vertical="center" wrapText="1"/>
      <protection/>
    </xf>
    <xf numFmtId="4" fontId="16" fillId="0" borderId="0" xfId="20" applyNumberFormat="1" applyFont="1" applyBorder="1" applyAlignment="1">
      <alignment vertical="center"/>
      <protection/>
    </xf>
    <xf numFmtId="4" fontId="9" fillId="0" borderId="0" xfId="20" applyNumberFormat="1" applyFont="1" applyBorder="1" applyAlignment="1" applyProtection="1">
      <alignment horizontal="right" vertical="center"/>
      <protection/>
    </xf>
    <xf numFmtId="4" fontId="9" fillId="0" borderId="0" xfId="20" applyNumberFormat="1" applyFont="1" applyBorder="1">
      <alignment/>
      <protection/>
    </xf>
    <xf numFmtId="0" fontId="22" fillId="2" borderId="17" xfId="15" applyFont="1" applyBorder="1" applyAlignment="1">
      <alignment horizontal="center" vertical="center" wrapText="1"/>
      <protection/>
    </xf>
    <xf numFmtId="1" fontId="22" fillId="2" borderId="18" xfId="15" applyNumberFormat="1" applyFont="1" applyBorder="1" applyAlignment="1" quotePrefix="1">
      <alignment horizontal="center" vertical="center" wrapText="1"/>
      <protection/>
    </xf>
    <xf numFmtId="0" fontId="23" fillId="2" borderId="17" xfId="15" applyFont="1" applyBorder="1" applyAlignment="1">
      <alignment horizontal="center" vertical="center" wrapText="1"/>
      <protection/>
    </xf>
    <xf numFmtId="0" fontId="23" fillId="2" borderId="19" xfId="15" applyFont="1" applyBorder="1" applyAlignment="1">
      <alignment horizontal="center" vertical="center" wrapText="1"/>
      <protection/>
    </xf>
    <xf numFmtId="0" fontId="22" fillId="2" borderId="19" xfId="15" applyFont="1" applyBorder="1" applyAlignment="1">
      <alignment horizontal="center" vertical="center" wrapText="1"/>
      <protection/>
    </xf>
    <xf numFmtId="4" fontId="22" fillId="2" borderId="20" xfId="15" applyNumberFormat="1" applyFont="1" applyBorder="1" applyAlignment="1">
      <alignment horizontal="right" vertical="center" wrapText="1"/>
      <protection/>
    </xf>
    <xf numFmtId="4" fontId="22" fillId="2" borderId="21" xfId="15" applyNumberFormat="1" applyFont="1" applyBorder="1" applyAlignment="1">
      <alignment horizontal="right" vertical="center" wrapText="1"/>
      <protection/>
    </xf>
    <xf numFmtId="0" fontId="23" fillId="0" borderId="22" xfId="0" applyFont="1" applyBorder="1" applyAlignment="1" applyProtection="1">
      <alignment horizontal="center" vertical="center"/>
      <protection/>
    </xf>
    <xf numFmtId="1" fontId="22" fillId="5" borderId="14" xfId="28" applyNumberFormat="1" applyFont="1" applyFill="1" applyBorder="1" applyAlignment="1">
      <alignment horizontal="center" vertical="center" wrapText="1"/>
      <protection/>
    </xf>
    <xf numFmtId="0" fontId="23" fillId="5" borderId="5" xfId="28" applyFont="1" applyFill="1" applyBorder="1" applyAlignment="1">
      <alignment horizontal="center" vertical="center" wrapText="1"/>
      <protection/>
    </xf>
    <xf numFmtId="0" fontId="22" fillId="5" borderId="5" xfId="28" applyFont="1" applyFill="1" applyBorder="1" applyAlignment="1">
      <alignment horizontal="left" vertical="center" wrapText="1"/>
      <protection/>
    </xf>
    <xf numFmtId="4" fontId="22" fillId="5" borderId="12" xfId="28" applyNumberFormat="1" applyFont="1" applyFill="1" applyBorder="1" applyAlignment="1">
      <alignment horizontal="right" vertical="center" wrapText="1"/>
      <protection/>
    </xf>
    <xf numFmtId="4" fontId="22" fillId="5" borderId="23" xfId="28" applyNumberFormat="1" applyFont="1" applyFill="1" applyBorder="1" applyAlignment="1">
      <alignment horizontal="right" vertical="center" wrapText="1"/>
      <protection/>
    </xf>
    <xf numFmtId="4" fontId="22" fillId="5" borderId="24" xfId="28" applyNumberFormat="1" applyFont="1" applyFill="1" applyBorder="1" applyAlignment="1">
      <alignment horizontal="right" vertical="center" wrapText="1"/>
      <protection/>
    </xf>
    <xf numFmtId="4" fontId="22" fillId="5" borderId="25" xfId="28" applyNumberFormat="1" applyFont="1" applyFill="1" applyBorder="1" applyAlignment="1">
      <alignment horizontal="right" vertical="center" wrapText="1"/>
      <protection/>
    </xf>
    <xf numFmtId="1" fontId="23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8" xfId="0" applyNumberFormat="1" applyFont="1" applyFill="1" applyBorder="1" applyAlignment="1" applyProtection="1">
      <alignment horizontal="center" vertical="center"/>
      <protection/>
    </xf>
    <xf numFmtId="0" fontId="23" fillId="0" borderId="26" xfId="0" applyNumberFormat="1" applyFont="1" applyFill="1" applyBorder="1" applyAlignment="1" applyProtection="1">
      <alignment horizontal="left" vertical="center" wrapText="1"/>
      <protection/>
    </xf>
    <xf numFmtId="4" fontId="23" fillId="0" borderId="27" xfId="31" applyNumberFormat="1" applyFont="1" applyBorder="1" applyAlignment="1">
      <alignment horizontal="right" vertical="center" wrapText="1"/>
      <protection/>
    </xf>
    <xf numFmtId="4" fontId="23" fillId="0" borderId="28" xfId="31" applyNumberFormat="1" applyFont="1" applyBorder="1" applyAlignment="1">
      <alignment horizontal="right" vertical="center" wrapText="1"/>
      <protection/>
    </xf>
    <xf numFmtId="4" fontId="23" fillId="0" borderId="29" xfId="31" applyNumberFormat="1" applyFont="1" applyBorder="1" applyAlignment="1">
      <alignment horizontal="right" vertical="center" wrapText="1"/>
      <protection/>
    </xf>
    <xf numFmtId="4" fontId="23" fillId="0" borderId="30" xfId="31" applyNumberFormat="1" applyFont="1" applyBorder="1" applyAlignment="1">
      <alignment horizontal="right" vertical="center" wrapText="1"/>
      <protection/>
    </xf>
    <xf numFmtId="0" fontId="23" fillId="0" borderId="22" xfId="25" applyFont="1" applyBorder="1" applyAlignment="1" applyProtection="1">
      <alignment horizontal="center" vertical="center"/>
      <protection/>
    </xf>
    <xf numFmtId="1" fontId="22" fillId="5" borderId="31" xfId="28" applyNumberFormat="1" applyFont="1" applyFill="1" applyBorder="1" applyAlignment="1" quotePrefix="1">
      <alignment horizontal="center" vertical="center" wrapText="1"/>
      <protection/>
    </xf>
    <xf numFmtId="0" fontId="23" fillId="5" borderId="32" xfId="28" applyFont="1" applyFill="1" applyBorder="1" applyAlignment="1">
      <alignment horizontal="center" vertical="center" wrapText="1"/>
      <protection/>
    </xf>
    <xf numFmtId="0" fontId="22" fillId="5" borderId="32" xfId="28" applyFont="1" applyFill="1" applyBorder="1" applyAlignment="1">
      <alignment horizontal="left" vertical="center" wrapText="1"/>
      <protection/>
    </xf>
    <xf numFmtId="4" fontId="22" fillId="5" borderId="33" xfId="28" applyNumberFormat="1" applyFont="1" applyFill="1" applyBorder="1" applyAlignment="1" quotePrefix="1">
      <alignment horizontal="right" vertical="center" wrapText="1"/>
      <protection/>
    </xf>
    <xf numFmtId="4" fontId="22" fillId="5" borderId="34" xfId="28" applyNumberFormat="1" applyFont="1" applyFill="1" applyBorder="1" applyAlignment="1" quotePrefix="1">
      <alignment horizontal="right" vertical="center" wrapText="1"/>
      <protection/>
    </xf>
    <xf numFmtId="0" fontId="22" fillId="0" borderId="22" xfId="15" applyFont="1" applyFill="1" applyBorder="1" applyAlignment="1">
      <alignment horizontal="center" vertical="center" wrapText="1"/>
      <protection/>
    </xf>
    <xf numFmtId="1" fontId="23" fillId="0" borderId="10" xfId="25" applyNumberFormat="1" applyFont="1" applyBorder="1" applyAlignment="1" applyProtection="1">
      <alignment horizontal="center" vertical="center" wrapText="1"/>
      <protection/>
    </xf>
    <xf numFmtId="0" fontId="23" fillId="0" borderId="0" xfId="31" applyFont="1" applyBorder="1" applyAlignment="1">
      <alignment horizontal="center" vertical="center" wrapText="1"/>
      <protection/>
    </xf>
    <xf numFmtId="0" fontId="23" fillId="0" borderId="0" xfId="31" applyFont="1" applyBorder="1" applyAlignment="1">
      <alignment horizontal="left" vertical="center" wrapText="1"/>
      <protection/>
    </xf>
    <xf numFmtId="4" fontId="23" fillId="0" borderId="4" xfId="31" applyNumberFormat="1" applyFont="1" applyBorder="1" applyAlignment="1">
      <alignment horizontal="right" vertical="center" wrapText="1"/>
      <protection/>
    </xf>
    <xf numFmtId="4" fontId="23" fillId="0" borderId="0" xfId="31" applyNumberFormat="1" applyFont="1" applyBorder="1" applyAlignment="1">
      <alignment horizontal="right" vertical="center" wrapText="1"/>
      <protection/>
    </xf>
    <xf numFmtId="4" fontId="23" fillId="0" borderId="7" xfId="31" applyNumberFormat="1" applyFont="1" applyBorder="1" applyAlignment="1">
      <alignment horizontal="right" vertical="center" wrapText="1"/>
      <protection/>
    </xf>
    <xf numFmtId="4" fontId="23" fillId="0" borderId="9" xfId="31" applyNumberFormat="1" applyFont="1" applyBorder="1" applyAlignment="1">
      <alignment horizontal="right" vertical="center" wrapText="1"/>
      <protection/>
    </xf>
    <xf numFmtId="4" fontId="23" fillId="0" borderId="35" xfId="31" applyNumberFormat="1" applyFont="1" applyBorder="1" applyAlignment="1">
      <alignment horizontal="right" vertical="center" wrapText="1"/>
      <protection/>
    </xf>
    <xf numFmtId="4" fontId="22" fillId="2" borderId="36" xfId="15" applyNumberFormat="1" applyFont="1" applyBorder="1" applyAlignment="1">
      <alignment horizontal="right" vertical="center" wrapText="1"/>
      <protection/>
    </xf>
    <xf numFmtId="1" fontId="22" fillId="5" borderId="14" xfId="28" applyNumberFormat="1" applyFont="1" applyFill="1" applyBorder="1" applyAlignment="1" quotePrefix="1">
      <alignment horizontal="center" vertical="center" wrapText="1"/>
      <protection/>
    </xf>
    <xf numFmtId="4" fontId="22" fillId="5" borderId="37" xfId="28" applyNumberFormat="1" applyFont="1" applyFill="1" applyBorder="1" applyAlignment="1">
      <alignment horizontal="right" vertical="center" wrapText="1"/>
      <protection/>
    </xf>
    <xf numFmtId="0" fontId="23" fillId="0" borderId="38" xfId="0" applyNumberFormat="1" applyFont="1" applyFill="1" applyBorder="1" applyAlignment="1" applyProtection="1">
      <alignment horizontal="left" vertical="center" wrapText="1"/>
      <protection/>
    </xf>
    <xf numFmtId="4" fontId="23" fillId="0" borderId="39" xfId="31" applyNumberFormat="1" applyFont="1" applyBorder="1" applyAlignment="1">
      <alignment horizontal="right" vertical="center" wrapText="1"/>
      <protection/>
    </xf>
    <xf numFmtId="4" fontId="23" fillId="0" borderId="40" xfId="31" applyNumberFormat="1" applyFont="1" applyBorder="1" applyAlignment="1">
      <alignment horizontal="right" vertical="center" wrapText="1"/>
      <protection/>
    </xf>
    <xf numFmtId="4" fontId="23" fillId="0" borderId="41" xfId="31" applyNumberFormat="1" applyFont="1" applyBorder="1" applyAlignment="1">
      <alignment horizontal="right" vertical="center" wrapText="1"/>
      <protection/>
    </xf>
    <xf numFmtId="4" fontId="23" fillId="0" borderId="42" xfId="31" applyNumberFormat="1" applyFont="1" applyBorder="1" applyAlignment="1">
      <alignment horizontal="right" vertical="center" wrapText="1"/>
      <protection/>
    </xf>
    <xf numFmtId="0" fontId="23" fillId="0" borderId="26" xfId="0" applyNumberFormat="1" applyFont="1" applyFill="1" applyBorder="1" applyAlignment="1" applyProtection="1">
      <alignment horizontal="center" vertical="center"/>
      <protection/>
    </xf>
    <xf numFmtId="4" fontId="23" fillId="0" borderId="43" xfId="31" applyNumberFormat="1" applyFont="1" applyBorder="1" applyAlignment="1">
      <alignment horizontal="right" vertical="center"/>
      <protection/>
    </xf>
    <xf numFmtId="4" fontId="23" fillId="0" borderId="44" xfId="31" applyNumberFormat="1" applyFont="1" applyBorder="1" applyAlignment="1">
      <alignment horizontal="right" vertical="center"/>
      <protection/>
    </xf>
    <xf numFmtId="4" fontId="23" fillId="0" borderId="45" xfId="31" applyNumberFormat="1" applyFont="1" applyBorder="1" applyAlignment="1">
      <alignment horizontal="right" vertical="center" wrapText="1"/>
      <protection/>
    </xf>
    <xf numFmtId="4" fontId="23" fillId="0" borderId="46" xfId="31" applyNumberFormat="1" applyFont="1" applyBorder="1" applyAlignment="1">
      <alignment horizontal="right" vertical="center" wrapText="1"/>
      <protection/>
    </xf>
    <xf numFmtId="4" fontId="23" fillId="0" borderId="38" xfId="31" applyNumberFormat="1" applyFont="1" applyBorder="1" applyAlignment="1">
      <alignment horizontal="right" vertical="center" wrapText="1"/>
      <protection/>
    </xf>
    <xf numFmtId="4" fontId="23" fillId="0" borderId="47" xfId="31" applyNumberFormat="1" applyFont="1" applyBorder="1" applyAlignment="1">
      <alignment horizontal="right" vertical="center" wrapText="1"/>
      <protection/>
    </xf>
    <xf numFmtId="4" fontId="23" fillId="0" borderId="44" xfId="31" applyNumberFormat="1" applyFont="1" applyBorder="1" applyAlignment="1">
      <alignment horizontal="right" vertical="center" wrapText="1"/>
      <protection/>
    </xf>
    <xf numFmtId="4" fontId="23" fillId="0" borderId="4" xfId="31" applyNumberFormat="1" applyFont="1" applyBorder="1" applyAlignment="1">
      <alignment horizontal="right" vertical="center"/>
      <protection/>
    </xf>
    <xf numFmtId="4" fontId="23" fillId="0" borderId="9" xfId="31" applyNumberFormat="1" applyFont="1" applyBorder="1" applyAlignment="1">
      <alignment horizontal="right" vertical="center"/>
      <protection/>
    </xf>
    <xf numFmtId="0" fontId="23" fillId="0" borderId="2" xfId="0" applyNumberFormat="1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1" fontId="24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2" xfId="0" applyNumberFormat="1" applyFont="1" applyFill="1" applyBorder="1" applyAlignment="1" applyProtection="1">
      <alignment horizontal="center" vertical="center"/>
      <protection/>
    </xf>
    <xf numFmtId="4" fontId="24" fillId="0" borderId="43" xfId="31" applyNumberFormat="1" applyFont="1" applyBorder="1" applyAlignment="1">
      <alignment horizontal="right" vertical="center"/>
      <protection/>
    </xf>
    <xf numFmtId="4" fontId="24" fillId="0" borderId="44" xfId="31" applyNumberFormat="1" applyFont="1" applyBorder="1" applyAlignment="1">
      <alignment horizontal="right" vertical="center"/>
      <protection/>
    </xf>
    <xf numFmtId="4" fontId="24" fillId="0" borderId="47" xfId="31" applyNumberFormat="1" applyFont="1" applyBorder="1" applyAlignment="1">
      <alignment horizontal="right" vertical="center" wrapText="1"/>
      <protection/>
    </xf>
    <xf numFmtId="4" fontId="24" fillId="0" borderId="46" xfId="31" applyNumberFormat="1" applyFont="1" applyBorder="1" applyAlignment="1">
      <alignment horizontal="right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4" fontId="24" fillId="0" borderId="4" xfId="31" applyNumberFormat="1" applyFont="1" applyBorder="1" applyAlignment="1">
      <alignment horizontal="right" vertical="center"/>
      <protection/>
    </xf>
    <xf numFmtId="4" fontId="24" fillId="0" borderId="9" xfId="31" applyNumberFormat="1" applyFont="1" applyBorder="1" applyAlignment="1">
      <alignment horizontal="right" vertical="center"/>
      <protection/>
    </xf>
    <xf numFmtId="4" fontId="24" fillId="0" borderId="7" xfId="31" applyNumberFormat="1" applyFont="1" applyBorder="1" applyAlignment="1">
      <alignment horizontal="right" vertical="center" wrapText="1"/>
      <protection/>
    </xf>
    <xf numFmtId="4" fontId="24" fillId="0" borderId="35" xfId="31" applyNumberFormat="1" applyFont="1" applyBorder="1" applyAlignment="1">
      <alignment horizontal="right" vertical="center" wrapText="1"/>
      <protection/>
    </xf>
    <xf numFmtId="0" fontId="23" fillId="0" borderId="7" xfId="20" applyFont="1" applyBorder="1" applyAlignment="1" applyProtection="1">
      <alignment horizontal="left" vertical="center"/>
      <protection/>
    </xf>
    <xf numFmtId="1" fontId="23" fillId="0" borderId="22" xfId="20" applyNumberFormat="1" applyFont="1" applyBorder="1" applyAlignment="1" applyProtection="1">
      <alignment horizontal="left" vertical="center"/>
      <protection/>
    </xf>
    <xf numFmtId="0" fontId="23" fillId="0" borderId="38" xfId="20" applyFont="1" applyBorder="1" applyAlignment="1" applyProtection="1">
      <alignment horizontal="left" vertical="center"/>
      <protection/>
    </xf>
    <xf numFmtId="0" fontId="23" fillId="0" borderId="38" xfId="20" applyFont="1" applyBorder="1" applyAlignment="1" applyProtection="1">
      <alignment horizontal="left" vertical="center" wrapText="1"/>
      <protection/>
    </xf>
    <xf numFmtId="4" fontId="23" fillId="0" borderId="43" xfId="20" applyNumberFormat="1" applyFont="1" applyBorder="1" applyAlignment="1" applyProtection="1">
      <alignment horizontal="left" vertical="center" wrapText="1"/>
      <protection/>
    </xf>
    <xf numFmtId="4" fontId="23" fillId="0" borderId="44" xfId="20" applyNumberFormat="1" applyFont="1" applyBorder="1" applyAlignment="1" applyProtection="1">
      <alignment horizontal="left" vertical="center" wrapText="1"/>
      <protection/>
    </xf>
    <xf numFmtId="4" fontId="23" fillId="0" borderId="47" xfId="20" applyNumberFormat="1" applyFont="1" applyBorder="1" applyAlignment="1" applyProtection="1">
      <alignment horizontal="left" vertical="center" wrapText="1"/>
      <protection/>
    </xf>
    <xf numFmtId="4" fontId="23" fillId="0" borderId="47" xfId="20" applyNumberFormat="1" applyFont="1" applyBorder="1" applyAlignment="1" applyProtection="1">
      <alignment horizontal="right" vertical="center" wrapText="1"/>
      <protection/>
    </xf>
    <xf numFmtId="4" fontId="23" fillId="0" borderId="46" xfId="20" applyNumberFormat="1" applyFont="1" applyBorder="1" applyAlignment="1" applyProtection="1">
      <alignment horizontal="right" vertical="center"/>
      <protection/>
    </xf>
    <xf numFmtId="0" fontId="23" fillId="0" borderId="26" xfId="20" applyFont="1" applyBorder="1" applyAlignment="1" applyProtection="1">
      <alignment horizontal="left" vertical="center"/>
      <protection/>
    </xf>
    <xf numFmtId="0" fontId="23" fillId="0" borderId="26" xfId="20" applyFont="1" applyBorder="1" applyAlignment="1" applyProtection="1">
      <alignment horizontal="left" vertical="center" wrapText="1"/>
      <protection/>
    </xf>
    <xf numFmtId="4" fontId="23" fillId="0" borderId="48" xfId="20" applyNumberFormat="1" applyFont="1" applyBorder="1" applyAlignment="1" applyProtection="1">
      <alignment horizontal="left" vertical="center" wrapText="1"/>
      <protection/>
    </xf>
    <xf numFmtId="4" fontId="23" fillId="0" borderId="49" xfId="20" applyNumberFormat="1" applyFont="1" applyBorder="1" applyAlignment="1" applyProtection="1">
      <alignment horizontal="left" vertical="center" wrapText="1"/>
      <protection/>
    </xf>
    <xf numFmtId="4" fontId="23" fillId="0" borderId="50" xfId="20" applyNumberFormat="1" applyFont="1" applyBorder="1" applyAlignment="1" applyProtection="1">
      <alignment horizontal="left" vertical="center" wrapText="1"/>
      <protection/>
    </xf>
    <xf numFmtId="4" fontId="23" fillId="0" borderId="50" xfId="20" applyNumberFormat="1" applyFont="1" applyBorder="1" applyAlignment="1" applyProtection="1">
      <alignment horizontal="right" vertical="center" wrapText="1"/>
      <protection/>
    </xf>
    <xf numFmtId="4" fontId="23" fillId="0" borderId="51" xfId="20" applyNumberFormat="1" applyFont="1" applyBorder="1" applyAlignment="1" applyProtection="1">
      <alignment horizontal="right" vertical="center"/>
      <protection/>
    </xf>
    <xf numFmtId="0" fontId="22" fillId="6" borderId="22" xfId="28" applyFont="1" applyFill="1" applyBorder="1" applyAlignment="1">
      <alignment horizontal="center" vertical="center" wrapText="1"/>
      <protection/>
    </xf>
    <xf numFmtId="1" fontId="22" fillId="3" borderId="31" xfId="28" applyNumberFormat="1" applyFont="1" applyFill="1" applyBorder="1" applyAlignment="1">
      <alignment horizontal="center" vertical="center" wrapText="1"/>
      <protection/>
    </xf>
    <xf numFmtId="0" fontId="22" fillId="3" borderId="32" xfId="28" applyFont="1" applyFill="1" applyBorder="1" applyAlignment="1">
      <alignment horizontal="center" vertical="center" wrapText="1"/>
      <protection/>
    </xf>
    <xf numFmtId="0" fontId="22" fillId="3" borderId="32" xfId="28" applyFont="1" applyFill="1" applyBorder="1" applyAlignment="1">
      <alignment horizontal="left" vertical="center" wrapText="1"/>
      <protection/>
    </xf>
    <xf numFmtId="4" fontId="22" fillId="3" borderId="33" xfId="28" applyNumberFormat="1" applyFont="1" applyFill="1" applyBorder="1" applyAlignment="1">
      <alignment vertical="center" wrapText="1"/>
      <protection/>
    </xf>
    <xf numFmtId="4" fontId="22" fillId="3" borderId="34" xfId="28" applyNumberFormat="1" applyFont="1" applyFill="1" applyBorder="1" applyAlignment="1">
      <alignment vertical="center" wrapText="1"/>
      <protection/>
    </xf>
    <xf numFmtId="0" fontId="22" fillId="0" borderId="35" xfId="20" applyFont="1" applyBorder="1" applyAlignment="1" applyProtection="1">
      <alignment horizontal="center" vertical="center"/>
      <protection/>
    </xf>
    <xf numFmtId="1" fontId="22" fillId="0" borderId="10" xfId="20" applyNumberFormat="1" applyFont="1" applyBorder="1" applyAlignment="1" applyProtection="1">
      <alignment horizontal="center" vertical="center"/>
      <protection/>
    </xf>
    <xf numFmtId="0" fontId="22" fillId="0" borderId="52" xfId="31" applyFont="1" applyBorder="1" applyAlignment="1">
      <alignment horizontal="center" vertical="center" wrapText="1"/>
      <protection/>
    </xf>
    <xf numFmtId="0" fontId="25" fillId="0" borderId="52" xfId="0" applyFont="1" applyBorder="1" applyAlignment="1">
      <alignment horizontal="justify" vertical="center" wrapText="1"/>
    </xf>
    <xf numFmtId="4" fontId="22" fillId="0" borderId="53" xfId="31" applyNumberFormat="1" applyFont="1" applyBorder="1" applyAlignment="1">
      <alignment horizontal="left" vertical="center" wrapText="1"/>
      <protection/>
    </xf>
    <xf numFmtId="4" fontId="22" fillId="0" borderId="54" xfId="31" applyNumberFormat="1" applyFont="1" applyBorder="1" applyAlignment="1">
      <alignment horizontal="left" vertical="center" wrapText="1"/>
      <protection/>
    </xf>
    <xf numFmtId="4" fontId="22" fillId="0" borderId="53" xfId="31" applyNumberFormat="1" applyFont="1" applyBorder="1" applyAlignment="1">
      <alignment horizontal="right" vertical="center" wrapText="1"/>
      <protection/>
    </xf>
    <xf numFmtId="0" fontId="22" fillId="0" borderId="22" xfId="20" applyFont="1" applyBorder="1" applyAlignment="1" applyProtection="1">
      <alignment horizontal="center" vertical="center"/>
      <protection/>
    </xf>
    <xf numFmtId="0" fontId="22" fillId="0" borderId="26" xfId="31" applyFont="1" applyBorder="1" applyAlignment="1">
      <alignment horizontal="center" vertical="center" wrapText="1"/>
      <protection/>
    </xf>
    <xf numFmtId="0" fontId="25" fillId="0" borderId="26" xfId="0" applyFont="1" applyBorder="1" applyAlignment="1">
      <alignment horizontal="justify" vertical="center" wrapText="1"/>
    </xf>
    <xf numFmtId="4" fontId="22" fillId="0" borderId="48" xfId="31" applyNumberFormat="1" applyFont="1" applyBorder="1" applyAlignment="1">
      <alignment horizontal="left" vertical="center" wrapText="1"/>
      <protection/>
    </xf>
    <xf numFmtId="4" fontId="22" fillId="0" borderId="55" xfId="31" applyNumberFormat="1" applyFont="1" applyBorder="1" applyAlignment="1">
      <alignment horizontal="left" vertical="center" wrapText="1"/>
      <protection/>
    </xf>
    <xf numFmtId="4" fontId="22" fillId="0" borderId="48" xfId="31" applyNumberFormat="1" applyFont="1" applyBorder="1" applyAlignment="1">
      <alignment horizontal="right" vertical="center" wrapText="1"/>
      <protection/>
    </xf>
    <xf numFmtId="0" fontId="26" fillId="0" borderId="22" xfId="20" applyFont="1" applyBorder="1" applyAlignment="1" applyProtection="1">
      <alignment horizontal="center" vertical="center"/>
      <protection/>
    </xf>
    <xf numFmtId="1" fontId="26" fillId="0" borderId="10" xfId="20" applyNumberFormat="1" applyFont="1" applyBorder="1" applyAlignment="1" applyProtection="1">
      <alignment horizontal="left" vertical="center"/>
      <protection/>
    </xf>
    <xf numFmtId="0" fontId="23" fillId="0" borderId="22" xfId="20" applyFont="1" applyBorder="1" applyAlignment="1" applyProtection="1">
      <alignment horizontal="center" vertical="center"/>
      <protection/>
    </xf>
    <xf numFmtId="0" fontId="26" fillId="0" borderId="0" xfId="31" applyFont="1" applyBorder="1" applyAlignment="1">
      <alignment horizontal="center" vertical="center" wrapText="1"/>
      <protection/>
    </xf>
    <xf numFmtId="0" fontId="26" fillId="0" borderId="0" xfId="31" applyFont="1" applyBorder="1" applyAlignment="1">
      <alignment horizontal="left" vertical="center" wrapText="1"/>
      <protection/>
    </xf>
    <xf numFmtId="4" fontId="26" fillId="0" borderId="4" xfId="31" applyNumberFormat="1" applyFont="1" applyBorder="1" applyAlignment="1">
      <alignment horizontal="left" vertical="center" wrapText="1"/>
      <protection/>
    </xf>
    <xf numFmtId="4" fontId="26" fillId="0" borderId="6" xfId="31" applyNumberFormat="1" applyFont="1" applyBorder="1" applyAlignment="1">
      <alignment horizontal="left" vertical="center" wrapText="1"/>
      <protection/>
    </xf>
    <xf numFmtId="4" fontId="26" fillId="0" borderId="4" xfId="31" applyNumberFormat="1" applyFont="1" applyBorder="1" applyAlignment="1">
      <alignment horizontal="right" vertical="center" wrapText="1"/>
      <protection/>
    </xf>
    <xf numFmtId="0" fontId="26" fillId="0" borderId="0" xfId="31" applyFont="1" applyBorder="1" applyAlignment="1" quotePrefix="1">
      <alignment horizontal="center" vertical="center" wrapText="1"/>
      <protection/>
    </xf>
    <xf numFmtId="0" fontId="27" fillId="0" borderId="0" xfId="0" applyFont="1" applyBorder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52" xfId="31" applyFont="1" applyBorder="1" applyAlignment="1" quotePrefix="1">
      <alignment horizontal="center" vertical="center" wrapText="1"/>
      <protection/>
    </xf>
    <xf numFmtId="0" fontId="26" fillId="0" borderId="52" xfId="0" applyFont="1" applyBorder="1" applyAlignment="1">
      <alignment vertical="center" wrapText="1"/>
    </xf>
    <xf numFmtId="4" fontId="26" fillId="0" borderId="53" xfId="31" applyNumberFormat="1" applyFont="1" applyBorder="1" applyAlignment="1">
      <alignment horizontal="left" vertical="center" wrapText="1"/>
      <protection/>
    </xf>
    <xf numFmtId="4" fontId="26" fillId="0" borderId="54" xfId="31" applyNumberFormat="1" applyFont="1" applyBorder="1" applyAlignment="1">
      <alignment horizontal="left" vertical="center" wrapText="1"/>
      <protection/>
    </xf>
    <xf numFmtId="4" fontId="26" fillId="0" borderId="53" xfId="31" applyNumberFormat="1" applyFont="1" applyBorder="1" applyAlignment="1">
      <alignment horizontal="right" vertical="center" wrapText="1"/>
      <protection/>
    </xf>
    <xf numFmtId="0" fontId="28" fillId="0" borderId="22" xfId="20" applyFont="1" applyBorder="1" applyAlignment="1" applyProtection="1">
      <alignment horizontal="center" vertical="center"/>
      <protection/>
    </xf>
    <xf numFmtId="1" fontId="28" fillId="0" borderId="10" xfId="20" applyNumberFormat="1" applyFont="1" applyBorder="1" applyAlignment="1" applyProtection="1">
      <alignment horizontal="left" vertical="center"/>
      <protection/>
    </xf>
    <xf numFmtId="0" fontId="28" fillId="0" borderId="26" xfId="31" applyFont="1" applyBorder="1" applyAlignment="1">
      <alignment horizontal="center" vertical="center" wrapText="1"/>
      <protection/>
    </xf>
    <xf numFmtId="4" fontId="28" fillId="0" borderId="48" xfId="31" applyNumberFormat="1" applyFont="1" applyBorder="1" applyAlignment="1">
      <alignment horizontal="left" vertical="center" wrapText="1"/>
      <protection/>
    </xf>
    <xf numFmtId="4" fontId="28" fillId="0" borderId="55" xfId="31" applyNumberFormat="1" applyFont="1" applyBorder="1" applyAlignment="1">
      <alignment horizontal="left" vertical="center" wrapText="1"/>
      <protection/>
    </xf>
    <xf numFmtId="0" fontId="27" fillId="0" borderId="52" xfId="0" applyFont="1" applyBorder="1" applyAlignment="1">
      <alignment horizontal="justify" vertical="center" wrapText="1"/>
    </xf>
    <xf numFmtId="0" fontId="22" fillId="0" borderId="26" xfId="0" applyFont="1" applyBorder="1" applyAlignment="1">
      <alignment vertical="center" wrapText="1"/>
    </xf>
    <xf numFmtId="1" fontId="26" fillId="0" borderId="10" xfId="20" applyNumberFormat="1" applyFont="1" applyBorder="1" applyAlignment="1" applyProtection="1">
      <alignment horizontal="center" vertical="center"/>
      <protection/>
    </xf>
    <xf numFmtId="0" fontId="26" fillId="0" borderId="0" xfId="20" applyFont="1" applyBorder="1" applyAlignment="1" applyProtection="1" quotePrefix="1">
      <alignment horizontal="center" vertical="center"/>
      <protection/>
    </xf>
    <xf numFmtId="0" fontId="27" fillId="0" borderId="0" xfId="0" applyFont="1" applyBorder="1" applyAlignment="1">
      <alignment horizontal="left" vertical="center" wrapText="1"/>
    </xf>
    <xf numFmtId="4" fontId="26" fillId="0" borderId="4" xfId="20" applyNumberFormat="1" applyFont="1" applyBorder="1" applyAlignment="1" applyProtection="1">
      <alignment horizontal="left" vertical="center" wrapText="1"/>
      <protection/>
    </xf>
    <xf numFmtId="4" fontId="26" fillId="0" borderId="6" xfId="20" applyNumberFormat="1" applyFont="1" applyBorder="1" applyAlignment="1" applyProtection="1">
      <alignment horizontal="left" vertical="center" wrapText="1"/>
      <protection/>
    </xf>
    <xf numFmtId="4" fontId="26" fillId="0" borderId="4" xfId="20" applyNumberFormat="1" applyFont="1" applyBorder="1" applyAlignment="1" applyProtection="1">
      <alignment horizontal="right" vertical="center" wrapText="1"/>
      <protection/>
    </xf>
    <xf numFmtId="0" fontId="26" fillId="0" borderId="52" xfId="20" applyFont="1" applyBorder="1" applyAlignment="1" applyProtection="1" quotePrefix="1">
      <alignment horizontal="center" vertical="center"/>
      <protection/>
    </xf>
    <xf numFmtId="0" fontId="27" fillId="0" borderId="52" xfId="0" applyFont="1" applyBorder="1" applyAlignment="1">
      <alignment horizontal="left" vertical="center" wrapText="1"/>
    </xf>
    <xf numFmtId="4" fontId="26" fillId="0" borderId="53" xfId="20" applyNumberFormat="1" applyFont="1" applyBorder="1" applyAlignment="1" applyProtection="1">
      <alignment horizontal="left" vertical="center" wrapText="1"/>
      <protection/>
    </xf>
    <xf numFmtId="4" fontId="26" fillId="0" borderId="54" xfId="20" applyNumberFormat="1" applyFont="1" applyBorder="1" applyAlignment="1" applyProtection="1">
      <alignment horizontal="left" vertical="center" wrapText="1"/>
      <protection/>
    </xf>
    <xf numFmtId="4" fontId="26" fillId="0" borderId="53" xfId="20" applyNumberFormat="1" applyFont="1" applyBorder="1" applyAlignment="1" applyProtection="1">
      <alignment horizontal="right" vertical="center" wrapText="1"/>
      <protection/>
    </xf>
    <xf numFmtId="4" fontId="22" fillId="0" borderId="48" xfId="20" applyNumberFormat="1" applyFont="1" applyBorder="1" applyAlignment="1" applyProtection="1">
      <alignment horizontal="left" vertical="center" wrapText="1"/>
      <protection/>
    </xf>
    <xf numFmtId="4" fontId="22" fillId="0" borderId="55" xfId="20" applyNumberFormat="1" applyFont="1" applyBorder="1" applyAlignment="1" applyProtection="1">
      <alignment horizontal="left" vertical="center" wrapText="1"/>
      <protection/>
    </xf>
    <xf numFmtId="4" fontId="22" fillId="0" borderId="48" xfId="20" applyNumberFormat="1" applyFont="1" applyBorder="1" applyAlignment="1" applyProtection="1">
      <alignment horizontal="right" vertical="center" wrapText="1"/>
      <protection/>
    </xf>
    <xf numFmtId="0" fontId="25" fillId="0" borderId="26" xfId="0" applyFont="1" applyBorder="1" applyAlignment="1">
      <alignment horizontal="left" vertical="center" wrapText="1"/>
    </xf>
    <xf numFmtId="0" fontId="28" fillId="0" borderId="38" xfId="31" applyFont="1" applyBorder="1" applyAlignment="1">
      <alignment horizontal="center" vertical="center" wrapText="1"/>
      <protection/>
    </xf>
    <xf numFmtId="0" fontId="25" fillId="0" borderId="38" xfId="0" applyFont="1" applyBorder="1" applyAlignment="1">
      <alignment horizontal="left" vertical="center" wrapText="1"/>
    </xf>
    <xf numFmtId="4" fontId="22" fillId="0" borderId="43" xfId="20" applyNumberFormat="1" applyFont="1" applyBorder="1" applyAlignment="1" applyProtection="1">
      <alignment horizontal="left" vertical="center" wrapText="1"/>
      <protection/>
    </xf>
    <xf numFmtId="4" fontId="22" fillId="0" borderId="56" xfId="20" applyNumberFormat="1" applyFont="1" applyBorder="1" applyAlignment="1" applyProtection="1">
      <alignment horizontal="left" vertical="center" wrapText="1"/>
      <protection/>
    </xf>
    <xf numFmtId="4" fontId="22" fillId="0" borderId="43" xfId="31" applyNumberFormat="1" applyFont="1" applyBorder="1" applyAlignment="1">
      <alignment horizontal="right" vertical="center" wrapText="1"/>
      <protection/>
    </xf>
    <xf numFmtId="1" fontId="22" fillId="0" borderId="57" xfId="20" applyNumberFormat="1" applyFont="1" applyBorder="1" applyAlignment="1" applyProtection="1">
      <alignment horizontal="center" vertical="center"/>
      <protection/>
    </xf>
    <xf numFmtId="0" fontId="28" fillId="0" borderId="58" xfId="31" applyFont="1" applyBorder="1" applyAlignment="1">
      <alignment horizontal="center" vertical="center" wrapText="1"/>
      <protection/>
    </xf>
    <xf numFmtId="0" fontId="25" fillId="0" borderId="58" xfId="0" applyFont="1" applyBorder="1" applyAlignment="1">
      <alignment horizontal="left" vertical="center" wrapText="1"/>
    </xf>
    <xf numFmtId="4" fontId="22" fillId="0" borderId="59" xfId="20" applyNumberFormat="1" applyFont="1" applyBorder="1" applyAlignment="1" applyProtection="1">
      <alignment horizontal="left" vertical="center" wrapText="1"/>
      <protection/>
    </xf>
    <xf numFmtId="4" fontId="22" fillId="0" borderId="60" xfId="20" applyNumberFormat="1" applyFont="1" applyBorder="1" applyAlignment="1" applyProtection="1">
      <alignment horizontal="left" vertical="center" wrapText="1"/>
      <protection/>
    </xf>
    <xf numFmtId="4" fontId="22" fillId="0" borderId="59" xfId="31" applyNumberFormat="1" applyFont="1" applyBorder="1" applyAlignment="1">
      <alignment horizontal="right" vertical="center" wrapText="1"/>
      <protection/>
    </xf>
    <xf numFmtId="0" fontId="23" fillId="0" borderId="35" xfId="0" applyFont="1" applyBorder="1" applyAlignment="1" applyProtection="1">
      <alignment horizontal="center" vertical="center"/>
      <protection/>
    </xf>
    <xf numFmtId="1" fontId="22" fillId="5" borderId="61" xfId="28" applyNumberFormat="1" applyFont="1" applyFill="1" applyBorder="1" applyAlignment="1" quotePrefix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1" fontId="22" fillId="0" borderId="10" xfId="28" applyNumberFormat="1" applyFont="1" applyFill="1" applyBorder="1" applyAlignment="1" quotePrefix="1">
      <alignment horizontal="center" vertical="center" wrapText="1"/>
      <protection/>
    </xf>
    <xf numFmtId="0" fontId="23" fillId="0" borderId="8" xfId="28" applyFont="1" applyFill="1" applyBorder="1" applyAlignment="1">
      <alignment horizontal="center" vertical="center" wrapText="1"/>
      <protection/>
    </xf>
    <xf numFmtId="0" fontId="23" fillId="0" borderId="0" xfId="28" applyFont="1" applyFill="1" applyBorder="1" applyAlignment="1">
      <alignment horizontal="left" vertical="center" wrapText="1"/>
      <protection/>
    </xf>
    <xf numFmtId="4" fontId="22" fillId="0" borderId="4" xfId="28" applyNumberFormat="1" applyFont="1" applyFill="1" applyBorder="1" applyAlignment="1">
      <alignment horizontal="right" vertical="center" wrapText="1"/>
      <protection/>
    </xf>
    <xf numFmtId="4" fontId="22" fillId="0" borderId="9" xfId="28" applyNumberFormat="1" applyFont="1" applyFill="1" applyBorder="1" applyAlignment="1">
      <alignment horizontal="right" vertical="center" wrapText="1"/>
      <protection/>
    </xf>
    <xf numFmtId="4" fontId="23" fillId="0" borderId="7" xfId="28" applyNumberFormat="1" applyFont="1" applyFill="1" applyBorder="1" applyAlignment="1">
      <alignment horizontal="right" vertical="center" wrapText="1"/>
      <protection/>
    </xf>
    <xf numFmtId="4" fontId="23" fillId="0" borderId="35" xfId="28" applyNumberFormat="1" applyFont="1" applyFill="1" applyBorder="1" applyAlignment="1">
      <alignment horizontal="right" vertical="center" wrapText="1"/>
      <protection/>
    </xf>
    <xf numFmtId="4" fontId="23" fillId="0" borderId="9" xfId="28" applyNumberFormat="1" applyFont="1" applyFill="1" applyBorder="1" applyAlignment="1">
      <alignment horizontal="right" vertical="center" wrapText="1"/>
      <protection/>
    </xf>
    <xf numFmtId="4" fontId="23" fillId="0" borderId="62" xfId="28" applyNumberFormat="1" applyFont="1" applyFill="1" applyBorder="1" applyAlignment="1">
      <alignment horizontal="right" vertical="center" wrapText="1"/>
      <protection/>
    </xf>
    <xf numFmtId="1" fontId="23" fillId="0" borderId="10" xfId="20" applyNumberFormat="1" applyFont="1" applyBorder="1" applyAlignment="1" applyProtection="1">
      <alignment horizontal="center" vertical="center"/>
      <protection/>
    </xf>
    <xf numFmtId="0" fontId="23" fillId="0" borderId="38" xfId="20" applyFont="1" applyBorder="1" applyAlignment="1" applyProtection="1">
      <alignment horizontal="center" vertical="center"/>
      <protection/>
    </xf>
    <xf numFmtId="0" fontId="29" fillId="0" borderId="38" xfId="0" applyFont="1" applyBorder="1" applyAlignment="1">
      <alignment horizontal="left" vertical="center" wrapText="1"/>
    </xf>
    <xf numFmtId="4" fontId="23" fillId="0" borderId="56" xfId="20" applyNumberFormat="1" applyFont="1" applyBorder="1" applyAlignment="1" applyProtection="1">
      <alignment horizontal="left" vertical="center" wrapText="1"/>
      <protection/>
    </xf>
    <xf numFmtId="4" fontId="23" fillId="0" borderId="43" xfId="31" applyNumberFormat="1" applyFont="1" applyBorder="1" applyAlignment="1">
      <alignment horizontal="right" vertical="center" wrapText="1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5" xfId="0" applyFont="1" applyBorder="1" applyAlignment="1">
      <alignment vertical="center" wrapText="1"/>
    </xf>
    <xf numFmtId="4" fontId="23" fillId="0" borderId="12" xfId="20" applyNumberFormat="1" applyFont="1" applyBorder="1" applyAlignment="1" applyProtection="1">
      <alignment horizontal="left" vertical="center" wrapText="1"/>
      <protection/>
    </xf>
    <xf numFmtId="4" fontId="23" fillId="0" borderId="37" xfId="20" applyNumberFormat="1" applyFont="1" applyBorder="1" applyAlignment="1" applyProtection="1">
      <alignment horizontal="left" vertical="center" wrapText="1"/>
      <protection/>
    </xf>
    <xf numFmtId="4" fontId="23" fillId="0" borderId="12" xfId="31" applyNumberFormat="1" applyFont="1" applyBorder="1" applyAlignment="1">
      <alignment horizontal="right" vertical="center" wrapText="1"/>
      <protection/>
    </xf>
    <xf numFmtId="0" fontId="22" fillId="6" borderId="63" xfId="28" applyFont="1" applyFill="1" applyBorder="1" applyAlignment="1">
      <alignment horizontal="center" vertical="center" wrapText="1"/>
      <protection/>
    </xf>
    <xf numFmtId="1" fontId="22" fillId="3" borderId="13" xfId="28" applyNumberFormat="1" applyFont="1" applyFill="1" applyBorder="1" applyAlignment="1">
      <alignment horizontal="center" vertical="center" wrapText="1"/>
      <protection/>
    </xf>
    <xf numFmtId="0" fontId="22" fillId="3" borderId="1" xfId="28" applyFont="1" applyFill="1" applyBorder="1" applyAlignment="1">
      <alignment horizontal="center" vertical="center" wrapText="1"/>
      <protection/>
    </xf>
    <xf numFmtId="0" fontId="22" fillId="3" borderId="1" xfId="28" applyFont="1" applyFill="1" applyBorder="1" applyAlignment="1">
      <alignment horizontal="left" vertical="center" wrapText="1"/>
      <protection/>
    </xf>
    <xf numFmtId="4" fontId="22" fillId="3" borderId="3" xfId="28" applyNumberFormat="1" applyFont="1" applyFill="1" applyBorder="1" applyAlignment="1">
      <alignment vertical="center" wrapText="1"/>
      <protection/>
    </xf>
    <xf numFmtId="4" fontId="22" fillId="3" borderId="64" xfId="28" applyNumberFormat="1" applyFont="1" applyFill="1" applyBorder="1" applyAlignment="1">
      <alignment vertical="center" wrapText="1"/>
      <protection/>
    </xf>
    <xf numFmtId="0" fontId="23" fillId="0" borderId="65" xfId="20" applyFont="1" applyBorder="1" applyAlignment="1" applyProtection="1">
      <alignment horizontal="center" vertical="center"/>
      <protection/>
    </xf>
    <xf numFmtId="0" fontId="29" fillId="0" borderId="65" xfId="0" applyFont="1" applyBorder="1" applyAlignment="1">
      <alignment horizontal="justify" vertical="center" wrapText="1"/>
    </xf>
    <xf numFmtId="4" fontId="23" fillId="0" borderId="66" xfId="20" applyNumberFormat="1" applyFont="1" applyBorder="1" applyAlignment="1" applyProtection="1">
      <alignment horizontal="left" vertical="center" wrapText="1"/>
      <protection/>
    </xf>
    <xf numFmtId="4" fontId="23" fillId="0" borderId="67" xfId="20" applyNumberFormat="1" applyFont="1" applyBorder="1" applyAlignment="1" applyProtection="1">
      <alignment horizontal="left" vertical="center" wrapText="1"/>
      <protection/>
    </xf>
    <xf numFmtId="4" fontId="23" fillId="0" borderId="66" xfId="31" applyNumberFormat="1" applyFont="1" applyBorder="1" applyAlignment="1">
      <alignment horizontal="right" vertical="center" wrapText="1"/>
      <protection/>
    </xf>
    <xf numFmtId="0" fontId="23" fillId="0" borderId="8" xfId="20" applyFont="1" applyBorder="1" applyAlignment="1" applyProtection="1">
      <alignment horizontal="center" vertical="center"/>
      <protection/>
    </xf>
    <xf numFmtId="0" fontId="23" fillId="0" borderId="8" xfId="0" applyFont="1" applyBorder="1" applyAlignment="1">
      <alignment vertical="center" wrapText="1"/>
    </xf>
    <xf numFmtId="4" fontId="23" fillId="0" borderId="11" xfId="20" applyNumberFormat="1" applyFont="1" applyBorder="1" applyAlignment="1" applyProtection="1">
      <alignment horizontal="left" vertical="center" wrapText="1"/>
      <protection/>
    </xf>
    <xf numFmtId="4" fontId="23" fillId="0" borderId="68" xfId="20" applyNumberFormat="1" applyFont="1" applyBorder="1" applyAlignment="1" applyProtection="1">
      <alignment horizontal="left" vertical="center" wrapText="1"/>
      <protection/>
    </xf>
    <xf numFmtId="4" fontId="23" fillId="0" borderId="11" xfId="31" applyNumberFormat="1" applyFont="1" applyBorder="1" applyAlignment="1">
      <alignment horizontal="right" vertical="center" wrapText="1"/>
      <protection/>
    </xf>
    <xf numFmtId="0" fontId="23" fillId="0" borderId="38" xfId="0" applyFont="1" applyBorder="1" applyAlignment="1">
      <alignment vertical="center" wrapText="1"/>
    </xf>
    <xf numFmtId="0" fontId="23" fillId="0" borderId="7" xfId="20" applyFont="1" applyBorder="1" applyAlignment="1" applyProtection="1">
      <alignment horizontal="center" vertical="center"/>
      <protection/>
    </xf>
    <xf numFmtId="1" fontId="23" fillId="0" borderId="69" xfId="20" applyNumberFormat="1" applyFont="1" applyBorder="1" applyAlignment="1" applyProtection="1">
      <alignment horizontal="center" vertical="center"/>
      <protection/>
    </xf>
    <xf numFmtId="0" fontId="23" fillId="0" borderId="70" xfId="20" applyFont="1" applyBorder="1" applyAlignment="1" applyProtection="1">
      <alignment horizontal="center" vertical="center"/>
      <protection/>
    </xf>
    <xf numFmtId="0" fontId="23" fillId="0" borderId="70" xfId="0" applyFont="1" applyBorder="1" applyAlignment="1">
      <alignment vertical="center" wrapText="1"/>
    </xf>
    <xf numFmtId="4" fontId="23" fillId="0" borderId="71" xfId="20" applyNumberFormat="1" applyFont="1" applyBorder="1" applyAlignment="1" applyProtection="1">
      <alignment horizontal="left" vertical="center" wrapText="1"/>
      <protection/>
    </xf>
    <xf numFmtId="4" fontId="23" fillId="0" borderId="72" xfId="20" applyNumberFormat="1" applyFont="1" applyBorder="1" applyAlignment="1" applyProtection="1">
      <alignment horizontal="left" vertical="center" wrapText="1"/>
      <protection/>
    </xf>
    <xf numFmtId="4" fontId="23" fillId="0" borderId="73" xfId="20" applyNumberFormat="1" applyFont="1" applyBorder="1" applyAlignment="1" applyProtection="1">
      <alignment horizontal="left" vertical="center" wrapText="1"/>
      <protection/>
    </xf>
    <xf numFmtId="4" fontId="23" fillId="0" borderId="73" xfId="31" applyNumberFormat="1" applyFont="1" applyBorder="1" applyAlignment="1">
      <alignment horizontal="right" vertical="center" wrapText="1"/>
      <protection/>
    </xf>
    <xf numFmtId="4" fontId="23" fillId="0" borderId="74" xfId="31" applyNumberFormat="1" applyFont="1" applyBorder="1" applyAlignment="1">
      <alignment horizontal="right" vertical="center" wrapText="1"/>
      <protection/>
    </xf>
    <xf numFmtId="0" fontId="23" fillId="0" borderId="75" xfId="28" applyFont="1" applyFill="1" applyBorder="1" applyAlignment="1">
      <alignment horizontal="center" vertical="center" wrapText="1"/>
      <protection/>
    </xf>
    <xf numFmtId="1" fontId="22" fillId="5" borderId="24" xfId="28" applyNumberFormat="1" applyFont="1" applyFill="1" applyBorder="1" applyAlignment="1" quotePrefix="1">
      <alignment horizontal="center" vertical="center" wrapText="1"/>
      <protection/>
    </xf>
    <xf numFmtId="4" fontId="22" fillId="5" borderId="76" xfId="28" applyNumberFormat="1" applyFont="1" applyFill="1" applyBorder="1" applyAlignment="1">
      <alignment horizontal="left" vertical="center" wrapText="1"/>
      <protection/>
    </xf>
    <xf numFmtId="4" fontId="22" fillId="5" borderId="5" xfId="28" applyNumberFormat="1" applyFont="1" applyFill="1" applyBorder="1" applyAlignment="1">
      <alignment horizontal="left" vertical="center" wrapText="1"/>
      <protection/>
    </xf>
    <xf numFmtId="4" fontId="22" fillId="5" borderId="24" xfId="28" applyNumberFormat="1" applyFont="1" applyFill="1" applyBorder="1" applyAlignment="1">
      <alignment horizontal="left" vertical="center" wrapText="1"/>
      <protection/>
    </xf>
    <xf numFmtId="1" fontId="22" fillId="0" borderId="7" xfId="25" applyNumberFormat="1" applyFont="1" applyBorder="1" applyAlignment="1" applyProtection="1">
      <alignment horizontal="center" vertical="center" wrapText="1"/>
      <protection/>
    </xf>
    <xf numFmtId="0" fontId="23" fillId="0" borderId="77" xfId="31" applyFont="1" applyBorder="1" applyAlignment="1">
      <alignment horizontal="center" vertical="center" wrapText="1"/>
      <protection/>
    </xf>
    <xf numFmtId="0" fontId="23" fillId="0" borderId="77" xfId="31" applyFont="1" applyBorder="1" applyAlignment="1" quotePrefix="1">
      <alignment horizontal="left" vertical="center" wrapText="1"/>
      <protection/>
    </xf>
    <xf numFmtId="4" fontId="23" fillId="0" borderId="7" xfId="31" applyNumberFormat="1" applyFont="1" applyBorder="1" applyAlignment="1" quotePrefix="1">
      <alignment horizontal="left" vertical="center" wrapText="1"/>
      <protection/>
    </xf>
    <xf numFmtId="4" fontId="23" fillId="0" borderId="0" xfId="31" applyNumberFormat="1" applyFont="1" applyBorder="1" applyAlignment="1" quotePrefix="1">
      <alignment horizontal="left" vertical="center" wrapText="1"/>
      <protection/>
    </xf>
    <xf numFmtId="4" fontId="23" fillId="0" borderId="7" xfId="31" applyNumberFormat="1" applyFont="1" applyBorder="1" applyAlignment="1" quotePrefix="1">
      <alignment horizontal="right" vertical="center" wrapText="1"/>
      <protection/>
    </xf>
    <xf numFmtId="4" fontId="23" fillId="0" borderId="78" xfId="31" applyNumberFormat="1" applyFont="1" applyBorder="1" applyAlignment="1">
      <alignment horizontal="right" vertical="center" wrapText="1"/>
      <protection/>
    </xf>
    <xf numFmtId="0" fontId="26" fillId="0" borderId="22" xfId="25" applyFont="1" applyBorder="1" applyAlignment="1" applyProtection="1">
      <alignment horizontal="center" vertical="center"/>
      <protection/>
    </xf>
    <xf numFmtId="1" fontId="28" fillId="0" borderId="7" xfId="25" applyNumberFormat="1" applyFont="1" applyBorder="1" applyAlignment="1" applyProtection="1">
      <alignment horizontal="center" vertical="center" wrapText="1"/>
      <protection/>
    </xf>
    <xf numFmtId="0" fontId="26" fillId="0" borderId="38" xfId="31" applyFont="1" applyBorder="1" applyAlignment="1">
      <alignment horizontal="center" vertical="center" wrapText="1"/>
      <protection/>
    </xf>
    <xf numFmtId="0" fontId="26" fillId="0" borderId="38" xfId="31" applyFont="1" applyBorder="1" applyAlignment="1">
      <alignment horizontal="left" vertical="center" wrapText="1"/>
      <protection/>
    </xf>
    <xf numFmtId="4" fontId="26" fillId="0" borderId="47" xfId="31" applyNumberFormat="1" applyFont="1" applyBorder="1" applyAlignment="1">
      <alignment horizontal="left" vertical="center" wrapText="1"/>
      <protection/>
    </xf>
    <xf numFmtId="4" fontId="26" fillId="0" borderId="38" xfId="31" applyNumberFormat="1" applyFont="1" applyBorder="1" applyAlignment="1">
      <alignment horizontal="left" vertical="center" wrapText="1"/>
      <protection/>
    </xf>
    <xf numFmtId="4" fontId="26" fillId="0" borderId="47" xfId="31" applyNumberFormat="1" applyFont="1" applyBorder="1" applyAlignment="1">
      <alignment horizontal="right" vertical="center" wrapText="1"/>
      <protection/>
    </xf>
    <xf numFmtId="4" fontId="26" fillId="0" borderId="44" xfId="31" applyNumberFormat="1" applyFont="1" applyBorder="1" applyAlignment="1">
      <alignment horizontal="right" vertical="center" wrapText="1"/>
      <protection/>
    </xf>
    <xf numFmtId="4" fontId="26" fillId="0" borderId="46" xfId="31" applyNumberFormat="1" applyFont="1" applyBorder="1" applyAlignment="1">
      <alignment horizontal="right" vertical="center" wrapText="1"/>
      <protection/>
    </xf>
    <xf numFmtId="0" fontId="26" fillId="0" borderId="26" xfId="31" applyFont="1" applyBorder="1" applyAlignment="1">
      <alignment horizontal="center" vertical="center" wrapText="1"/>
      <protection/>
    </xf>
    <xf numFmtId="0" fontId="26" fillId="0" borderId="26" xfId="31" applyFont="1" applyBorder="1" applyAlignment="1">
      <alignment horizontal="left" vertical="center" wrapText="1"/>
      <protection/>
    </xf>
    <xf numFmtId="4" fontId="26" fillId="0" borderId="50" xfId="31" applyNumberFormat="1" applyFont="1" applyBorder="1" applyAlignment="1">
      <alignment horizontal="left" vertical="center" wrapText="1"/>
      <protection/>
    </xf>
    <xf numFmtId="4" fontId="26" fillId="0" borderId="26" xfId="31" applyNumberFormat="1" applyFont="1" applyBorder="1" applyAlignment="1">
      <alignment horizontal="left" vertical="center" wrapText="1"/>
      <protection/>
    </xf>
    <xf numFmtId="4" fontId="26" fillId="0" borderId="50" xfId="31" applyNumberFormat="1" applyFont="1" applyBorder="1" applyAlignment="1">
      <alignment horizontal="right" vertical="center" wrapText="1"/>
      <protection/>
    </xf>
    <xf numFmtId="4" fontId="26" fillId="0" borderId="49" xfId="31" applyNumberFormat="1" applyFont="1" applyBorder="1" applyAlignment="1">
      <alignment horizontal="right" vertical="center" wrapText="1"/>
      <protection/>
    </xf>
    <xf numFmtId="4" fontId="26" fillId="0" borderId="51" xfId="31" applyNumberFormat="1" applyFont="1" applyBorder="1" applyAlignment="1">
      <alignment horizontal="right" vertical="center" wrapText="1"/>
      <protection/>
    </xf>
    <xf numFmtId="0" fontId="26" fillId="0" borderId="58" xfId="31" applyFont="1" applyBorder="1" applyAlignment="1">
      <alignment horizontal="center" vertical="center" wrapText="1"/>
      <protection/>
    </xf>
    <xf numFmtId="0" fontId="26" fillId="0" borderId="58" xfId="31" applyFont="1" applyBorder="1" applyAlignment="1">
      <alignment horizontal="left" vertical="center" wrapText="1"/>
      <protection/>
    </xf>
    <xf numFmtId="4" fontId="26" fillId="0" borderId="79" xfId="31" applyNumberFormat="1" applyFont="1" applyBorder="1" applyAlignment="1">
      <alignment horizontal="left" vertical="center" wrapText="1"/>
      <protection/>
    </xf>
    <xf numFmtId="4" fontId="26" fillId="0" borderId="58" xfId="31" applyNumberFormat="1" applyFont="1" applyBorder="1" applyAlignment="1">
      <alignment horizontal="left" vertical="center" wrapText="1"/>
      <protection/>
    </xf>
    <xf numFmtId="4" fontId="26" fillId="0" borderId="79" xfId="31" applyNumberFormat="1" applyFont="1" applyBorder="1" applyAlignment="1">
      <alignment horizontal="right" vertical="center" wrapText="1"/>
      <protection/>
    </xf>
    <xf numFmtId="4" fontId="26" fillId="0" borderId="80" xfId="31" applyNumberFormat="1" applyFont="1" applyBorder="1" applyAlignment="1">
      <alignment horizontal="right" vertical="center" wrapText="1"/>
      <protection/>
    </xf>
    <xf numFmtId="4" fontId="26" fillId="0" borderId="81" xfId="31" applyNumberFormat="1" applyFont="1" applyBorder="1" applyAlignment="1">
      <alignment horizontal="right" vertical="center" wrapText="1"/>
      <protection/>
    </xf>
    <xf numFmtId="1" fontId="22" fillId="5" borderId="82" xfId="28" applyNumberFormat="1" applyFont="1" applyFill="1" applyBorder="1" applyAlignment="1">
      <alignment horizontal="center" vertical="center" wrapText="1"/>
      <protection/>
    </xf>
    <xf numFmtId="0" fontId="22" fillId="5" borderId="70" xfId="28" applyFont="1" applyFill="1" applyBorder="1" applyAlignment="1">
      <alignment horizontal="center" vertical="center" wrapText="1"/>
      <protection/>
    </xf>
    <xf numFmtId="0" fontId="22" fillId="4" borderId="70" xfId="31" applyFont="1" applyFill="1" applyBorder="1" applyAlignment="1">
      <alignment horizontal="left" vertical="center" wrapText="1"/>
      <protection/>
    </xf>
    <xf numFmtId="4" fontId="22" fillId="5" borderId="3" xfId="28" applyNumberFormat="1" applyFont="1" applyFill="1" applyBorder="1" applyAlignment="1">
      <alignment vertical="center" wrapText="1"/>
      <protection/>
    </xf>
    <xf numFmtId="4" fontId="22" fillId="5" borderId="83" xfId="28" applyNumberFormat="1" applyFont="1" applyFill="1" applyBorder="1" applyAlignment="1">
      <alignment vertical="center" wrapText="1"/>
      <protection/>
    </xf>
    <xf numFmtId="4" fontId="22" fillId="5" borderId="84" xfId="28" applyNumberFormat="1" applyFont="1" applyFill="1" applyBorder="1" applyAlignment="1">
      <alignment vertical="center" wrapText="1"/>
      <protection/>
    </xf>
    <xf numFmtId="4" fontId="22" fillId="5" borderId="85" xfId="28" applyNumberFormat="1" applyFont="1" applyFill="1" applyBorder="1" applyAlignment="1">
      <alignment vertical="center" wrapText="1"/>
      <protection/>
    </xf>
    <xf numFmtId="1" fontId="23" fillId="0" borderId="22" xfId="20" applyNumberFormat="1" applyFont="1" applyBorder="1" applyAlignment="1" applyProtection="1">
      <alignment horizontal="center" vertical="center"/>
      <protection/>
    </xf>
    <xf numFmtId="0" fontId="23" fillId="0" borderId="19" xfId="31" applyFont="1" applyFill="1" applyBorder="1" applyAlignment="1">
      <alignment horizontal="left" vertical="center" wrapText="1"/>
      <protection/>
    </xf>
    <xf numFmtId="4" fontId="23" fillId="0" borderId="27" xfId="31" applyNumberFormat="1" applyFont="1" applyBorder="1" applyAlignment="1">
      <alignment vertical="center" wrapText="1"/>
      <protection/>
    </xf>
    <xf numFmtId="4" fontId="23" fillId="0" borderId="28" xfId="31" applyNumberFormat="1" applyFont="1" applyBorder="1" applyAlignment="1">
      <alignment vertical="center" wrapText="1"/>
      <protection/>
    </xf>
    <xf numFmtId="4" fontId="23" fillId="0" borderId="29" xfId="31" applyNumberFormat="1" applyFont="1" applyBorder="1" applyAlignment="1">
      <alignment vertical="center" wrapText="1"/>
      <protection/>
    </xf>
    <xf numFmtId="4" fontId="23" fillId="0" borderId="30" xfId="31" applyNumberFormat="1" applyFont="1" applyBorder="1" applyAlignment="1">
      <alignment vertical="center" wrapText="1"/>
      <protection/>
    </xf>
    <xf numFmtId="0" fontId="23" fillId="0" borderId="35" xfId="20" applyFont="1" applyBorder="1" applyAlignment="1" applyProtection="1">
      <alignment horizontal="center" vertical="center"/>
      <protection/>
    </xf>
    <xf numFmtId="1" fontId="22" fillId="5" borderId="13" xfId="28" applyNumberFormat="1" applyFont="1" applyFill="1" applyBorder="1" applyAlignment="1">
      <alignment horizontal="center" vertical="center" wrapText="1"/>
      <protection/>
    </xf>
    <xf numFmtId="0" fontId="22" fillId="5" borderId="1" xfId="28" applyFont="1" applyFill="1" applyBorder="1" applyAlignment="1">
      <alignment horizontal="center" vertical="center" wrapText="1"/>
      <protection/>
    </xf>
    <xf numFmtId="0" fontId="22" fillId="5" borderId="1" xfId="28" applyFont="1" applyFill="1" applyBorder="1" applyAlignment="1">
      <alignment horizontal="left" vertical="center" wrapText="1"/>
      <protection/>
    </xf>
    <xf numFmtId="0" fontId="22" fillId="0" borderId="77" xfId="31" applyFont="1" applyBorder="1" applyAlignment="1">
      <alignment horizontal="center" vertical="center" wrapText="1"/>
      <protection/>
    </xf>
    <xf numFmtId="4" fontId="22" fillId="0" borderId="27" xfId="31" applyNumberFormat="1" applyFont="1" applyBorder="1" applyAlignment="1">
      <alignment horizontal="left" vertical="center" wrapText="1"/>
      <protection/>
    </xf>
    <xf numFmtId="4" fontId="22" fillId="0" borderId="28" xfId="31" applyNumberFormat="1" applyFont="1" applyBorder="1" applyAlignment="1">
      <alignment horizontal="left" vertical="center" wrapText="1"/>
      <protection/>
    </xf>
    <xf numFmtId="4" fontId="22" fillId="0" borderId="29" xfId="31" applyNumberFormat="1" applyFont="1" applyBorder="1" applyAlignment="1">
      <alignment horizontal="left" vertical="center" wrapText="1"/>
      <protection/>
    </xf>
    <xf numFmtId="4" fontId="22" fillId="0" borderId="29" xfId="31" applyNumberFormat="1" applyFont="1" applyBorder="1" applyAlignment="1">
      <alignment vertical="center" wrapText="1"/>
      <protection/>
    </xf>
    <xf numFmtId="4" fontId="22" fillId="0" borderId="30" xfId="31" applyNumberFormat="1" applyFont="1" applyBorder="1" applyAlignment="1">
      <alignment vertical="center" wrapText="1"/>
      <protection/>
    </xf>
    <xf numFmtId="4" fontId="26" fillId="0" borderId="9" xfId="31" applyNumberFormat="1" applyFont="1" applyBorder="1" applyAlignment="1">
      <alignment horizontal="left" vertical="center" wrapText="1"/>
      <protection/>
    </xf>
    <xf numFmtId="4" fontId="26" fillId="0" borderId="7" xfId="31" applyNumberFormat="1" applyFont="1" applyBorder="1" applyAlignment="1">
      <alignment horizontal="left" vertical="center" wrapText="1"/>
      <protection/>
    </xf>
    <xf numFmtId="4" fontId="26" fillId="0" borderId="7" xfId="31" applyNumberFormat="1" applyFont="1" applyBorder="1" applyAlignment="1">
      <alignment vertical="center" wrapText="1"/>
      <protection/>
    </xf>
    <xf numFmtId="4" fontId="23" fillId="0" borderId="35" xfId="31" applyNumberFormat="1" applyFont="1" applyBorder="1" applyAlignment="1">
      <alignment vertical="center" wrapText="1"/>
      <protection/>
    </xf>
    <xf numFmtId="0" fontId="26" fillId="0" borderId="35" xfId="20" applyFont="1" applyBorder="1" applyAlignment="1" applyProtection="1">
      <alignment horizontal="center" vertical="center"/>
      <protection/>
    </xf>
    <xf numFmtId="4" fontId="26" fillId="0" borderId="35" xfId="31" applyNumberFormat="1" applyFont="1" applyBorder="1" applyAlignment="1">
      <alignment vertical="center" wrapText="1"/>
      <protection/>
    </xf>
    <xf numFmtId="4" fontId="22" fillId="0" borderId="26" xfId="31" applyNumberFormat="1" applyFont="1" applyBorder="1" applyAlignment="1">
      <alignment horizontal="left" vertical="center" wrapText="1"/>
      <protection/>
    </xf>
    <xf numFmtId="4" fontId="22" fillId="0" borderId="86" xfId="31" applyNumberFormat="1" applyFont="1" applyBorder="1" applyAlignment="1">
      <alignment horizontal="left" vertical="center" wrapText="1"/>
      <protection/>
    </xf>
    <xf numFmtId="4" fontId="22" fillId="0" borderId="86" xfId="31" applyNumberFormat="1" applyFont="1" applyBorder="1" applyAlignment="1">
      <alignment vertical="center" wrapText="1"/>
      <protection/>
    </xf>
    <xf numFmtId="4" fontId="22" fillId="0" borderId="51" xfId="31" applyNumberFormat="1" applyFont="1" applyBorder="1" applyAlignment="1">
      <alignment vertical="center" wrapText="1"/>
      <protection/>
    </xf>
    <xf numFmtId="0" fontId="23" fillId="0" borderId="22" xfId="20" applyFont="1" applyBorder="1" applyAlignment="1">
      <alignment vertical="center"/>
      <protection/>
    </xf>
    <xf numFmtId="0" fontId="23" fillId="0" borderId="0" xfId="31" applyFont="1" applyBorder="1" applyAlignment="1" quotePrefix="1">
      <alignment horizontal="center" vertical="center" wrapText="1"/>
      <protection/>
    </xf>
    <xf numFmtId="0" fontId="23" fillId="0" borderId="0" xfId="20" applyFont="1" applyBorder="1" applyAlignment="1" applyProtection="1">
      <alignment horizontal="left" vertical="center" wrapText="1"/>
      <protection/>
    </xf>
    <xf numFmtId="0" fontId="26" fillId="0" borderId="0" xfId="20" applyFont="1" applyBorder="1" applyAlignment="1" applyProtection="1">
      <alignment horizontal="left" vertical="center" wrapText="1"/>
      <protection/>
    </xf>
    <xf numFmtId="0" fontId="26" fillId="0" borderId="52" xfId="31" applyFont="1" applyBorder="1" applyAlignment="1">
      <alignment horizontal="center" vertical="center" wrapText="1"/>
      <protection/>
    </xf>
    <xf numFmtId="0" fontId="26" fillId="0" borderId="52" xfId="20" applyFont="1" applyBorder="1" applyAlignment="1" applyProtection="1">
      <alignment horizontal="left" vertical="center" wrapText="1"/>
      <protection/>
    </xf>
    <xf numFmtId="4" fontId="26" fillId="0" borderId="87" xfId="31" applyNumberFormat="1" applyFont="1" applyBorder="1" applyAlignment="1">
      <alignment horizontal="left" vertical="center" wrapText="1"/>
      <protection/>
    </xf>
    <xf numFmtId="4" fontId="26" fillId="0" borderId="88" xfId="31" applyNumberFormat="1" applyFont="1" applyBorder="1" applyAlignment="1">
      <alignment horizontal="left" vertical="center" wrapText="1"/>
      <protection/>
    </xf>
    <xf numFmtId="4" fontId="26" fillId="0" borderId="88" xfId="31" applyNumberFormat="1" applyFont="1" applyBorder="1" applyAlignment="1">
      <alignment vertical="center" wrapText="1"/>
      <protection/>
    </xf>
    <xf numFmtId="4" fontId="26" fillId="0" borderId="89" xfId="31" applyNumberFormat="1" applyFont="1" applyBorder="1" applyAlignment="1">
      <alignment vertical="center" wrapText="1"/>
      <protection/>
    </xf>
    <xf numFmtId="0" fontId="22" fillId="0" borderId="0" xfId="20" applyFont="1" applyBorder="1" applyAlignment="1" applyProtection="1">
      <alignment horizontal="center" vertical="center"/>
      <protection/>
    </xf>
    <xf numFmtId="0" fontId="22" fillId="0" borderId="0" xfId="20" applyFont="1" applyBorder="1" applyAlignment="1" applyProtection="1">
      <alignment horizontal="left" vertical="center" wrapText="1"/>
      <protection/>
    </xf>
    <xf numFmtId="4" fontId="28" fillId="0" borderId="4" xfId="31" applyNumberFormat="1" applyFont="1" applyBorder="1" applyAlignment="1">
      <alignment horizontal="left" vertical="center" wrapText="1"/>
      <protection/>
    </xf>
    <xf numFmtId="4" fontId="28" fillId="0" borderId="9" xfId="31" applyNumberFormat="1" applyFont="1" applyBorder="1" applyAlignment="1">
      <alignment horizontal="left" vertical="center" wrapText="1"/>
      <protection/>
    </xf>
    <xf numFmtId="4" fontId="28" fillId="0" borderId="7" xfId="31" applyNumberFormat="1" applyFont="1" applyBorder="1" applyAlignment="1">
      <alignment horizontal="left" vertical="center" wrapText="1"/>
      <protection/>
    </xf>
    <xf numFmtId="4" fontId="22" fillId="0" borderId="7" xfId="31" applyNumberFormat="1" applyFont="1" applyBorder="1" applyAlignment="1" applyProtection="1">
      <alignment horizontal="right" vertical="center" wrapText="1"/>
      <protection locked="0"/>
    </xf>
    <xf numFmtId="4" fontId="22" fillId="0" borderId="35" xfId="31" applyNumberFormat="1" applyFont="1" applyBorder="1" applyAlignment="1" applyProtection="1">
      <alignment horizontal="right" vertical="center" wrapText="1"/>
      <protection/>
    </xf>
    <xf numFmtId="0" fontId="23" fillId="0" borderId="0" xfId="20" applyFont="1" applyBorder="1" applyAlignment="1" applyProtection="1">
      <alignment horizontal="center" vertical="center"/>
      <protection/>
    </xf>
    <xf numFmtId="4" fontId="23" fillId="0" borderId="22" xfId="31" applyNumberFormat="1" applyFont="1" applyBorder="1" applyAlignment="1">
      <alignment vertical="center" wrapText="1"/>
      <protection/>
    </xf>
    <xf numFmtId="0" fontId="22" fillId="0" borderId="38" xfId="20" applyFont="1" applyBorder="1" applyAlignment="1" applyProtection="1">
      <alignment horizontal="center" vertical="center"/>
      <protection/>
    </xf>
    <xf numFmtId="4" fontId="28" fillId="0" borderId="43" xfId="31" applyNumberFormat="1" applyFont="1" applyBorder="1" applyAlignment="1">
      <alignment horizontal="left" vertical="center" wrapText="1"/>
      <protection/>
    </xf>
    <xf numFmtId="4" fontId="28" fillId="0" borderId="44" xfId="31" applyNumberFormat="1" applyFont="1" applyBorder="1" applyAlignment="1">
      <alignment horizontal="left" vertical="center" wrapText="1"/>
      <protection/>
    </xf>
    <xf numFmtId="4" fontId="28" fillId="0" borderId="47" xfId="31" applyNumberFormat="1" applyFont="1" applyBorder="1" applyAlignment="1">
      <alignment horizontal="left" vertical="center" wrapText="1"/>
      <protection/>
    </xf>
    <xf numFmtId="4" fontId="22" fillId="0" borderId="47" xfId="31" applyNumberFormat="1" applyFont="1" applyBorder="1" applyAlignment="1">
      <alignment vertical="center" wrapText="1"/>
      <protection/>
    </xf>
    <xf numFmtId="4" fontId="22" fillId="0" borderId="46" xfId="31" applyNumberFormat="1" applyFont="1" applyBorder="1" applyAlignment="1">
      <alignment vertical="center" wrapText="1"/>
      <protection/>
    </xf>
    <xf numFmtId="0" fontId="28" fillId="0" borderId="35" xfId="20" applyFont="1" applyBorder="1" applyAlignment="1" applyProtection="1">
      <alignment horizontal="center" vertical="center"/>
      <protection/>
    </xf>
    <xf numFmtId="1" fontId="28" fillId="0" borderId="14" xfId="20" applyNumberFormat="1" applyFont="1" applyBorder="1" applyAlignment="1" applyProtection="1">
      <alignment horizontal="left" vertical="center"/>
      <protection/>
    </xf>
    <xf numFmtId="0" fontId="22" fillId="0" borderId="70" xfId="20" applyFont="1" applyBorder="1" applyAlignment="1" applyProtection="1">
      <alignment horizontal="center" vertical="center"/>
      <protection/>
    </xf>
    <xf numFmtId="0" fontId="22" fillId="0" borderId="70" xfId="20" applyFont="1" applyBorder="1" applyAlignment="1" applyProtection="1">
      <alignment horizontal="left" vertical="center" wrapText="1"/>
      <protection/>
    </xf>
    <xf numFmtId="4" fontId="28" fillId="0" borderId="71" xfId="31" applyNumberFormat="1" applyFont="1" applyBorder="1" applyAlignment="1">
      <alignment horizontal="left" vertical="center" wrapText="1"/>
      <protection/>
    </xf>
    <xf numFmtId="4" fontId="28" fillId="0" borderId="72" xfId="31" applyNumberFormat="1" applyFont="1" applyBorder="1" applyAlignment="1">
      <alignment horizontal="left" vertical="center" wrapText="1"/>
      <protection/>
    </xf>
    <xf numFmtId="4" fontId="28" fillId="0" borderId="73" xfId="31" applyNumberFormat="1" applyFont="1" applyBorder="1" applyAlignment="1">
      <alignment horizontal="left" vertical="center" wrapText="1"/>
      <protection/>
    </xf>
    <xf numFmtId="4" fontId="22" fillId="0" borderId="73" xfId="31" applyNumberFormat="1" applyFont="1" applyBorder="1" applyAlignment="1">
      <alignment vertical="center" wrapText="1"/>
      <protection/>
    </xf>
    <xf numFmtId="4" fontId="22" fillId="0" borderId="74" xfId="31" applyNumberFormat="1" applyFont="1" applyBorder="1" applyAlignment="1">
      <alignment vertical="center" wrapText="1"/>
      <protection/>
    </xf>
    <xf numFmtId="1" fontId="22" fillId="5" borderId="13" xfId="28" applyNumberFormat="1" applyFont="1" applyFill="1" applyBorder="1" applyAlignment="1" quotePrefix="1">
      <alignment horizontal="center" vertical="center" wrapText="1"/>
      <protection/>
    </xf>
    <xf numFmtId="0" fontId="23" fillId="5" borderId="1" xfId="28" applyFont="1" applyFill="1" applyBorder="1" applyAlignment="1">
      <alignment horizontal="center" vertical="center" wrapText="1"/>
      <protection/>
    </xf>
    <xf numFmtId="4" fontId="22" fillId="5" borderId="3" xfId="28" applyNumberFormat="1" applyFont="1" applyFill="1" applyBorder="1" applyAlignment="1">
      <alignment horizontal="right" vertical="center" wrapText="1"/>
      <protection/>
    </xf>
    <xf numFmtId="1" fontId="22" fillId="0" borderId="90" xfId="28" applyNumberFormat="1" applyFont="1" applyFill="1" applyBorder="1" applyAlignment="1" quotePrefix="1">
      <alignment horizontal="center" vertical="center" wrapText="1"/>
      <protection/>
    </xf>
    <xf numFmtId="0" fontId="23" fillId="0" borderId="0" xfId="28" applyFont="1" applyFill="1" applyBorder="1" applyAlignment="1">
      <alignment horizontal="center" vertical="center" wrapText="1"/>
      <protection/>
    </xf>
    <xf numFmtId="0" fontId="23" fillId="0" borderId="8" xfId="28" applyFont="1" applyFill="1" applyBorder="1" applyAlignment="1">
      <alignment horizontal="left" vertical="center" wrapText="1"/>
      <protection/>
    </xf>
    <xf numFmtId="4" fontId="22" fillId="0" borderId="11" xfId="28" applyNumberFormat="1" applyFont="1" applyFill="1" applyBorder="1" applyAlignment="1">
      <alignment horizontal="right" vertical="center" wrapText="1"/>
      <protection/>
    </xf>
    <xf numFmtId="4" fontId="22" fillId="0" borderId="6" xfId="28" applyNumberFormat="1" applyFont="1" applyFill="1" applyBorder="1" applyAlignment="1">
      <alignment horizontal="right" vertical="center" wrapText="1"/>
      <protection/>
    </xf>
    <xf numFmtId="1" fontId="22" fillId="0" borderId="91" xfId="28" applyNumberFormat="1" applyFont="1" applyFill="1" applyBorder="1" applyAlignment="1" quotePrefix="1">
      <alignment horizontal="center" vertical="center" wrapText="1"/>
      <protection/>
    </xf>
    <xf numFmtId="0" fontId="22" fillId="0" borderId="0" xfId="31" applyFont="1" applyBorder="1" applyAlignment="1" quotePrefix="1">
      <alignment horizontal="left" vertical="center" wrapText="1"/>
      <protection/>
    </xf>
    <xf numFmtId="0" fontId="23" fillId="0" borderId="22" xfId="25" applyFont="1" applyFill="1" applyBorder="1" applyAlignment="1" applyProtection="1">
      <alignment horizontal="center" vertical="center"/>
      <protection/>
    </xf>
    <xf numFmtId="1" fontId="22" fillId="0" borderId="7" xfId="28" applyNumberFormat="1" applyFont="1" applyFill="1" applyBorder="1" applyAlignment="1" quotePrefix="1">
      <alignment horizontal="center" vertical="center" wrapText="1"/>
      <protection/>
    </xf>
    <xf numFmtId="0" fontId="23" fillId="0" borderId="38" xfId="28" applyFont="1" applyFill="1" applyBorder="1" applyAlignment="1">
      <alignment horizontal="center" vertical="center" wrapText="1"/>
      <protection/>
    </xf>
    <xf numFmtId="0" fontId="23" fillId="0" borderId="38" xfId="31" applyFont="1" applyBorder="1" applyAlignment="1" quotePrefix="1">
      <alignment horizontal="left" vertical="center" wrapText="1"/>
      <protection/>
    </xf>
    <xf numFmtId="4" fontId="23" fillId="0" borderId="47" xfId="31" applyNumberFormat="1" applyFont="1" applyBorder="1" applyAlignment="1" quotePrefix="1">
      <alignment horizontal="left" vertical="center" wrapText="1"/>
      <protection/>
    </xf>
    <xf numFmtId="4" fontId="23" fillId="0" borderId="38" xfId="31" applyNumberFormat="1" applyFont="1" applyBorder="1" applyAlignment="1" quotePrefix="1">
      <alignment horizontal="left" vertical="center" wrapText="1"/>
      <protection/>
    </xf>
    <xf numFmtId="4" fontId="22" fillId="0" borderId="44" xfId="28" applyNumberFormat="1" applyFont="1" applyFill="1" applyBorder="1" applyAlignment="1">
      <alignment horizontal="right" vertical="center" wrapText="1"/>
      <protection/>
    </xf>
    <xf numFmtId="4" fontId="23" fillId="0" borderId="47" xfId="28" applyNumberFormat="1" applyFont="1" applyFill="1" applyBorder="1" applyAlignment="1">
      <alignment horizontal="right" vertical="center" wrapText="1"/>
      <protection/>
    </xf>
    <xf numFmtId="0" fontId="23" fillId="0" borderId="52" xfId="28" applyFont="1" applyFill="1" applyBorder="1" applyAlignment="1">
      <alignment horizontal="center" vertical="center" wrapText="1"/>
      <protection/>
    </xf>
    <xf numFmtId="0" fontId="23" fillId="0" borderId="52" xfId="31" applyFont="1" applyBorder="1" applyAlignment="1">
      <alignment horizontal="left" vertical="center" wrapText="1"/>
      <protection/>
    </xf>
    <xf numFmtId="4" fontId="23" fillId="0" borderId="88" xfId="31" applyNumberFormat="1" applyFont="1" applyBorder="1" applyAlignment="1">
      <alignment horizontal="left" vertical="center" wrapText="1"/>
      <protection/>
    </xf>
    <xf numFmtId="4" fontId="23" fillId="0" borderId="52" xfId="31" applyNumberFormat="1" applyFont="1" applyBorder="1" applyAlignment="1">
      <alignment horizontal="left" vertical="center" wrapText="1"/>
      <protection/>
    </xf>
    <xf numFmtId="4" fontId="23" fillId="0" borderId="88" xfId="31" applyNumberFormat="1" applyFont="1" applyBorder="1" applyAlignment="1" quotePrefix="1">
      <alignment horizontal="left" vertical="center" wrapText="1"/>
      <protection/>
    </xf>
    <xf numFmtId="4" fontId="22" fillId="0" borderId="87" xfId="28" applyNumberFormat="1" applyFont="1" applyFill="1" applyBorder="1" applyAlignment="1">
      <alignment horizontal="right" vertical="center" wrapText="1"/>
      <protection/>
    </xf>
    <xf numFmtId="4" fontId="23" fillId="0" borderId="88" xfId="28" applyNumberFormat="1" applyFont="1" applyFill="1" applyBorder="1" applyAlignment="1">
      <alignment horizontal="right" vertical="center" wrapText="1"/>
      <protection/>
    </xf>
    <xf numFmtId="4" fontId="23" fillId="0" borderId="89" xfId="31" applyNumberFormat="1" applyFont="1" applyBorder="1" applyAlignment="1">
      <alignment horizontal="right" vertical="center" wrapText="1"/>
      <protection/>
    </xf>
    <xf numFmtId="0" fontId="23" fillId="0" borderId="52" xfId="31" applyFont="1" applyBorder="1" applyAlignment="1" quotePrefix="1">
      <alignment horizontal="left" vertical="center" wrapText="1"/>
      <protection/>
    </xf>
    <xf numFmtId="4" fontId="23" fillId="0" borderId="52" xfId="31" applyNumberFormat="1" applyFont="1" applyBorder="1" applyAlignment="1" quotePrefix="1">
      <alignment horizontal="left" vertical="center" wrapText="1"/>
      <protection/>
    </xf>
    <xf numFmtId="4" fontId="23" fillId="0" borderId="89" xfId="28" applyNumberFormat="1" applyFont="1" applyFill="1" applyBorder="1" applyAlignment="1">
      <alignment horizontal="right" vertical="center" wrapText="1"/>
      <protection/>
    </xf>
    <xf numFmtId="1" fontId="23" fillId="0" borderId="7" xfId="28" applyNumberFormat="1" applyFont="1" applyFill="1" applyBorder="1" applyAlignment="1" quotePrefix="1">
      <alignment horizontal="center" vertical="center" wrapText="1"/>
      <protection/>
    </xf>
    <xf numFmtId="4" fontId="23" fillId="0" borderId="4" xfId="28" applyNumberFormat="1" applyFont="1" applyFill="1" applyBorder="1" applyAlignment="1">
      <alignment horizontal="right" vertical="center" wrapText="1"/>
      <protection/>
    </xf>
    <xf numFmtId="4" fontId="23" fillId="0" borderId="6" xfId="28" applyNumberFormat="1" applyFont="1" applyFill="1" applyBorder="1" applyAlignment="1">
      <alignment horizontal="right" vertical="center" wrapText="1"/>
      <protection/>
    </xf>
    <xf numFmtId="1" fontId="28" fillId="0" borderId="22" xfId="20" applyNumberFormat="1" applyFont="1" applyBorder="1" applyAlignment="1" applyProtection="1">
      <alignment horizontal="left" vertical="center"/>
      <protection/>
    </xf>
    <xf numFmtId="0" fontId="22" fillId="0" borderId="16" xfId="31" applyFont="1" applyBorder="1" applyAlignment="1">
      <alignment horizontal="center" vertical="center" wrapText="1"/>
      <protection/>
    </xf>
    <xf numFmtId="0" fontId="22" fillId="0" borderId="16" xfId="0" applyFont="1" applyFill="1" applyBorder="1" applyAlignment="1">
      <alignment vertical="center" wrapText="1"/>
    </xf>
    <xf numFmtId="4" fontId="22" fillId="0" borderId="92" xfId="31" applyNumberFormat="1" applyFont="1" applyBorder="1" applyAlignment="1">
      <alignment vertical="center" wrapText="1"/>
      <protection/>
    </xf>
    <xf numFmtId="4" fontId="22" fillId="0" borderId="93" xfId="31" applyNumberFormat="1" applyFont="1" applyBorder="1" applyAlignment="1">
      <alignment vertical="center" wrapText="1"/>
      <protection/>
    </xf>
    <xf numFmtId="4" fontId="22" fillId="0" borderId="94" xfId="31" applyNumberFormat="1" applyFont="1" applyBorder="1" applyAlignment="1">
      <alignment vertical="center" wrapText="1"/>
      <protection/>
    </xf>
    <xf numFmtId="4" fontId="22" fillId="0" borderId="95" xfId="31" applyNumberFormat="1" applyFont="1" applyBorder="1" applyAlignment="1">
      <alignment vertical="center" wrapText="1"/>
      <protection/>
    </xf>
    <xf numFmtId="0" fontId="23" fillId="0" borderId="22" xfId="20" applyFont="1" applyFill="1" applyBorder="1" applyAlignment="1" applyProtection="1">
      <alignment horizontal="center" vertical="center"/>
      <protection/>
    </xf>
    <xf numFmtId="1" fontId="26" fillId="0" borderId="22" xfId="20" applyNumberFormat="1" applyFont="1" applyFill="1" applyBorder="1" applyAlignment="1" applyProtection="1">
      <alignment horizontal="left" vertical="center"/>
      <protection/>
    </xf>
    <xf numFmtId="0" fontId="23" fillId="0" borderId="0" xfId="3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 wrapText="1"/>
    </xf>
    <xf numFmtId="4" fontId="23" fillId="0" borderId="4" xfId="31" applyNumberFormat="1" applyFont="1" applyFill="1" applyBorder="1" applyAlignment="1">
      <alignment vertical="center" wrapText="1"/>
      <protection/>
    </xf>
    <xf numFmtId="4" fontId="23" fillId="0" borderId="9" xfId="31" applyNumberFormat="1" applyFont="1" applyFill="1" applyBorder="1" applyAlignment="1">
      <alignment vertical="center" wrapText="1"/>
      <protection/>
    </xf>
    <xf numFmtId="4" fontId="23" fillId="0" borderId="7" xfId="31" applyNumberFormat="1" applyFont="1" applyFill="1" applyBorder="1" applyAlignment="1">
      <alignment vertical="center" wrapText="1"/>
      <protection/>
    </xf>
    <xf numFmtId="4" fontId="23" fillId="0" borderId="22" xfId="31" applyNumberFormat="1" applyFont="1" applyFill="1" applyBorder="1" applyAlignment="1">
      <alignment vertical="center" wrapText="1"/>
      <protection/>
    </xf>
    <xf numFmtId="4" fontId="22" fillId="0" borderId="7" xfId="29" applyNumberFormat="1" applyFont="1" applyFill="1" applyBorder="1" applyAlignment="1">
      <alignment vertical="center" wrapText="1"/>
    </xf>
    <xf numFmtId="4" fontId="22" fillId="0" borderId="6" xfId="31" applyNumberFormat="1" applyFont="1" applyFill="1" applyBorder="1" applyAlignment="1">
      <alignment vertical="center" wrapText="1"/>
      <protection/>
    </xf>
    <xf numFmtId="0" fontId="26" fillId="0" borderId="22" xfId="20" applyFont="1" applyFill="1" applyBorder="1" applyAlignment="1" applyProtection="1">
      <alignment horizontal="center" vertical="center"/>
      <protection/>
    </xf>
    <xf numFmtId="0" fontId="26" fillId="0" borderId="0" xfId="3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vertical="center" wrapText="1"/>
    </xf>
    <xf numFmtId="4" fontId="26" fillId="0" borderId="4" xfId="31" applyNumberFormat="1" applyFont="1" applyFill="1" applyBorder="1" applyAlignment="1">
      <alignment vertical="center" wrapText="1"/>
      <protection/>
    </xf>
    <xf numFmtId="4" fontId="26" fillId="0" borderId="9" xfId="31" applyNumberFormat="1" applyFont="1" applyFill="1" applyBorder="1" applyAlignment="1">
      <alignment vertical="center" wrapText="1"/>
      <protection/>
    </xf>
    <xf numFmtId="4" fontId="26" fillId="0" borderId="7" xfId="31" applyNumberFormat="1" applyFont="1" applyFill="1" applyBorder="1" applyAlignment="1">
      <alignment vertical="center" wrapText="1"/>
      <protection/>
    </xf>
    <xf numFmtId="4" fontId="26" fillId="0" borderId="22" xfId="31" applyNumberFormat="1" applyFont="1" applyFill="1" applyBorder="1" applyAlignment="1">
      <alignment vertical="center" wrapText="1"/>
      <protection/>
    </xf>
    <xf numFmtId="4" fontId="26" fillId="0" borderId="6" xfId="31" applyNumberFormat="1" applyFont="1" applyBorder="1" applyAlignment="1">
      <alignment vertical="center" wrapText="1"/>
      <protection/>
    </xf>
    <xf numFmtId="1" fontId="26" fillId="0" borderId="22" xfId="20" applyNumberFormat="1" applyFont="1" applyBorder="1" applyAlignment="1" applyProtection="1">
      <alignment horizontal="left" vertical="center"/>
      <protection/>
    </xf>
    <xf numFmtId="0" fontId="26" fillId="0" borderId="0" xfId="31" applyFont="1" applyFill="1" applyBorder="1" applyAlignment="1">
      <alignment horizontal="left" vertical="center" wrapText="1"/>
      <protection/>
    </xf>
    <xf numFmtId="4" fontId="26" fillId="0" borderId="4" xfId="31" applyNumberFormat="1" applyFont="1" applyBorder="1" applyAlignment="1">
      <alignment vertical="center" wrapText="1"/>
      <protection/>
    </xf>
    <xf numFmtId="4" fontId="26" fillId="0" borderId="9" xfId="31" applyNumberFormat="1" applyFont="1" applyBorder="1" applyAlignment="1">
      <alignment vertical="center" wrapText="1"/>
      <protection/>
    </xf>
    <xf numFmtId="4" fontId="26" fillId="0" borderId="22" xfId="31" applyNumberFormat="1" applyFont="1" applyBorder="1" applyAlignment="1">
      <alignment vertical="center" wrapText="1"/>
      <protection/>
    </xf>
    <xf numFmtId="4" fontId="26" fillId="0" borderId="7" xfId="29" applyNumberFormat="1" applyFont="1" applyFill="1" applyBorder="1" applyAlignment="1">
      <alignment vertical="center"/>
    </xf>
    <xf numFmtId="0" fontId="26" fillId="0" borderId="38" xfId="31" applyFont="1" applyFill="1" applyBorder="1" applyAlignment="1">
      <alignment horizontal="left" vertical="center" wrapText="1"/>
      <protection/>
    </xf>
    <xf numFmtId="4" fontId="26" fillId="0" borderId="43" xfId="31" applyNumberFormat="1" applyFont="1" applyBorder="1" applyAlignment="1">
      <alignment vertical="center" wrapText="1"/>
      <protection/>
    </xf>
    <xf numFmtId="4" fontId="26" fillId="0" borderId="44" xfId="31" applyNumberFormat="1" applyFont="1" applyBorder="1" applyAlignment="1">
      <alignment vertical="center" wrapText="1"/>
      <protection/>
    </xf>
    <xf numFmtId="4" fontId="26" fillId="0" borderId="47" xfId="31" applyNumberFormat="1" applyFont="1" applyBorder="1" applyAlignment="1">
      <alignment vertical="center" wrapText="1"/>
      <protection/>
    </xf>
    <xf numFmtId="4" fontId="26" fillId="0" borderId="45" xfId="31" applyNumberFormat="1" applyFont="1" applyBorder="1" applyAlignment="1">
      <alignment vertical="center" wrapText="1"/>
      <protection/>
    </xf>
    <xf numFmtId="4" fontId="26" fillId="0" borderId="47" xfId="29" applyNumberFormat="1" applyFont="1" applyFill="1" applyBorder="1" applyAlignment="1">
      <alignment vertical="center"/>
    </xf>
    <xf numFmtId="4" fontId="26" fillId="0" borderId="56" xfId="31" applyNumberFormat="1" applyFont="1" applyBorder="1" applyAlignment="1">
      <alignment vertical="center" wrapText="1"/>
      <protection/>
    </xf>
    <xf numFmtId="0" fontId="28" fillId="0" borderId="22" xfId="20" applyFont="1" applyFill="1" applyBorder="1" applyAlignment="1" applyProtection="1">
      <alignment horizontal="center" vertical="center"/>
      <protection/>
    </xf>
    <xf numFmtId="1" fontId="28" fillId="0" borderId="22" xfId="20" applyNumberFormat="1" applyFont="1" applyFill="1" applyBorder="1" applyAlignment="1" applyProtection="1">
      <alignment horizontal="left" vertical="center"/>
      <protection/>
    </xf>
    <xf numFmtId="0" fontId="22" fillId="0" borderId="26" xfId="0" applyFont="1" applyFill="1" applyBorder="1" applyAlignment="1">
      <alignment horizontal="center" vertical="center"/>
    </xf>
    <xf numFmtId="0" fontId="22" fillId="0" borderId="26" xfId="31" applyFont="1" applyFill="1" applyBorder="1" applyAlignment="1">
      <alignment horizontal="left" vertical="center" wrapText="1"/>
      <protection/>
    </xf>
    <xf numFmtId="4" fontId="22" fillId="0" borderId="48" xfId="31" applyNumberFormat="1" applyFont="1" applyFill="1" applyBorder="1" applyAlignment="1">
      <alignment vertical="center" wrapText="1"/>
      <protection/>
    </xf>
    <xf numFmtId="4" fontId="22" fillId="0" borderId="49" xfId="31" applyNumberFormat="1" applyFont="1" applyFill="1" applyBorder="1" applyAlignment="1">
      <alignment vertical="center" wrapText="1"/>
      <protection/>
    </xf>
    <xf numFmtId="4" fontId="22" fillId="0" borderId="50" xfId="31" applyNumberFormat="1" applyFont="1" applyFill="1" applyBorder="1" applyAlignment="1">
      <alignment vertical="center" wrapText="1"/>
      <protection/>
    </xf>
    <xf numFmtId="4" fontId="22" fillId="0" borderId="86" xfId="31" applyNumberFormat="1" applyFont="1" applyFill="1" applyBorder="1" applyAlignment="1">
      <alignment vertical="center" wrapText="1"/>
      <protection/>
    </xf>
    <xf numFmtId="4" fontId="22" fillId="0" borderId="50" xfId="29" applyNumberFormat="1" applyFont="1" applyFill="1" applyBorder="1" applyAlignment="1">
      <alignment vertical="center" wrapText="1"/>
    </xf>
    <xf numFmtId="4" fontId="22" fillId="0" borderId="55" xfId="31" applyNumberFormat="1" applyFont="1" applyFill="1" applyBorder="1" applyAlignment="1">
      <alignment vertical="center" wrapText="1"/>
      <protection/>
    </xf>
    <xf numFmtId="49" fontId="26" fillId="0" borderId="52" xfId="31" applyNumberFormat="1" applyFont="1" applyBorder="1" applyAlignment="1">
      <alignment horizontal="center" vertical="center" wrapText="1"/>
      <protection/>
    </xf>
    <xf numFmtId="0" fontId="26" fillId="0" borderId="52" xfId="31" applyFont="1" applyFill="1" applyBorder="1" applyAlignment="1">
      <alignment horizontal="left" vertical="center" wrapText="1"/>
      <protection/>
    </xf>
    <xf numFmtId="4" fontId="26" fillId="0" borderId="53" xfId="31" applyNumberFormat="1" applyFont="1" applyBorder="1" applyAlignment="1">
      <alignment vertical="center" wrapText="1"/>
      <protection/>
    </xf>
    <xf numFmtId="4" fontId="26" fillId="0" borderId="87" xfId="31" applyNumberFormat="1" applyFont="1" applyBorder="1" applyAlignment="1">
      <alignment vertical="center" wrapText="1"/>
      <protection/>
    </xf>
    <xf numFmtId="4" fontId="26" fillId="0" borderId="96" xfId="31" applyNumberFormat="1" applyFont="1" applyBorder="1" applyAlignment="1">
      <alignment vertical="center" wrapText="1"/>
      <protection/>
    </xf>
    <xf numFmtId="4" fontId="26" fillId="0" borderId="88" xfId="29" applyNumberFormat="1" applyFont="1" applyFill="1" applyBorder="1" applyAlignment="1">
      <alignment vertical="center"/>
    </xf>
    <xf numFmtId="4" fontId="26" fillId="0" borderId="54" xfId="31" applyNumberFormat="1" applyFont="1" applyBorder="1" applyAlignment="1">
      <alignment vertical="center" wrapText="1"/>
      <protection/>
    </xf>
    <xf numFmtId="49" fontId="26" fillId="0" borderId="38" xfId="31" applyNumberFormat="1" applyFont="1" applyBorder="1" applyAlignment="1">
      <alignment horizontal="center" vertical="center" wrapText="1"/>
      <protection/>
    </xf>
    <xf numFmtId="49" fontId="26" fillId="0" borderId="0" xfId="31" applyNumberFormat="1" applyFont="1" applyBorder="1" applyAlignment="1">
      <alignment horizontal="center" vertical="center" wrapText="1"/>
      <protection/>
    </xf>
    <xf numFmtId="1" fontId="23" fillId="0" borderId="22" xfId="2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22" fillId="0" borderId="0" xfId="31" applyFont="1" applyFill="1" applyBorder="1" applyAlignment="1">
      <alignment horizontal="left" vertical="center" wrapText="1"/>
      <protection/>
    </xf>
    <xf numFmtId="1" fontId="26" fillId="0" borderId="22" xfId="20" applyNumberFormat="1" applyFont="1" applyBorder="1" applyAlignment="1" applyProtection="1">
      <alignment horizontal="center" vertical="center"/>
      <protection/>
    </xf>
    <xf numFmtId="4" fontId="22" fillId="0" borderId="7" xfId="29" applyNumberFormat="1" applyFont="1" applyFill="1" applyBorder="1" applyAlignment="1">
      <alignment vertical="center"/>
    </xf>
    <xf numFmtId="4" fontId="22" fillId="0" borderId="35" xfId="31" applyNumberFormat="1" applyFont="1" applyFill="1" applyBorder="1" applyAlignment="1">
      <alignment vertical="center" wrapText="1"/>
      <protection/>
    </xf>
    <xf numFmtId="49" fontId="26" fillId="0" borderId="26" xfId="31" applyNumberFormat="1" applyFont="1" applyBorder="1" applyAlignment="1">
      <alignment horizontal="center" vertical="center" wrapText="1"/>
      <protection/>
    </xf>
    <xf numFmtId="0" fontId="26" fillId="0" borderId="26" xfId="31" applyFont="1" applyFill="1" applyBorder="1" applyAlignment="1">
      <alignment horizontal="left" vertical="center" wrapText="1"/>
      <protection/>
    </xf>
    <xf numFmtId="4" fontId="26" fillId="0" borderId="48" xfId="31" applyNumberFormat="1" applyFont="1" applyBorder="1" applyAlignment="1">
      <alignment vertical="center" wrapText="1"/>
      <protection/>
    </xf>
    <xf numFmtId="4" fontId="26" fillId="0" borderId="49" xfId="31" applyNumberFormat="1" applyFont="1" applyBorder="1" applyAlignment="1">
      <alignment vertical="center" wrapText="1"/>
      <protection/>
    </xf>
    <xf numFmtId="4" fontId="26" fillId="0" borderId="50" xfId="31" applyNumberFormat="1" applyFont="1" applyBorder="1" applyAlignment="1">
      <alignment vertical="center" wrapText="1"/>
      <protection/>
    </xf>
    <xf numFmtId="4" fontId="26" fillId="0" borderId="86" xfId="31" applyNumberFormat="1" applyFont="1" applyBorder="1" applyAlignment="1">
      <alignment vertical="center" wrapText="1"/>
      <protection/>
    </xf>
    <xf numFmtId="4" fontId="26" fillId="0" borderId="50" xfId="29" applyNumberFormat="1" applyFont="1" applyFill="1" applyBorder="1" applyAlignment="1">
      <alignment vertical="center"/>
    </xf>
    <xf numFmtId="4" fontId="26" fillId="0" borderId="55" xfId="31" applyNumberFormat="1" applyFont="1" applyBorder="1" applyAlignment="1">
      <alignment vertical="center" wrapText="1"/>
      <protection/>
    </xf>
    <xf numFmtId="0" fontId="26" fillId="0" borderId="0" xfId="0" applyFont="1" applyBorder="1" applyAlignment="1">
      <alignment horizontal="center" vertical="center"/>
    </xf>
    <xf numFmtId="0" fontId="23" fillId="0" borderId="2" xfId="0" applyFont="1" applyBorder="1" applyAlignment="1" applyProtection="1">
      <alignment horizontal="center" vertical="center"/>
      <protection/>
    </xf>
    <xf numFmtId="0" fontId="23" fillId="0" borderId="2" xfId="31" applyFont="1" applyBorder="1" applyAlignment="1">
      <alignment horizontal="left" vertical="center" wrapText="1"/>
      <protection/>
    </xf>
    <xf numFmtId="4" fontId="23" fillId="0" borderId="97" xfId="31" applyNumberFormat="1" applyFont="1" applyBorder="1" applyAlignment="1">
      <alignment horizontal="right" vertical="center" wrapText="1"/>
      <protection/>
    </xf>
    <xf numFmtId="4" fontId="23" fillId="7" borderId="46" xfId="28" applyNumberFormat="1" applyFont="1" applyFill="1" applyBorder="1" applyAlignment="1">
      <alignment horizontal="right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6" xfId="31" applyFont="1" applyBorder="1" applyAlignment="1">
      <alignment horizontal="left" vertical="center" wrapText="1"/>
      <protection/>
    </xf>
    <xf numFmtId="4" fontId="23" fillId="0" borderId="98" xfId="31" applyNumberFormat="1" applyFont="1" applyBorder="1" applyAlignment="1">
      <alignment horizontal="right" vertical="center" wrapText="1"/>
      <protection/>
    </xf>
    <xf numFmtId="4" fontId="23" fillId="7" borderId="35" xfId="28" applyNumberFormat="1" applyFont="1" applyFill="1" applyBorder="1" applyAlignment="1">
      <alignment horizontal="right" vertical="center" wrapText="1"/>
      <protection/>
    </xf>
    <xf numFmtId="0" fontId="23" fillId="0" borderId="38" xfId="0" applyFont="1" applyBorder="1" applyAlignment="1" applyProtection="1">
      <alignment horizontal="center" vertical="center"/>
      <protection/>
    </xf>
    <xf numFmtId="0" fontId="23" fillId="0" borderId="38" xfId="31" applyFont="1" applyBorder="1" applyAlignment="1">
      <alignment horizontal="left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99" xfId="0" applyFont="1" applyBorder="1" applyAlignment="1" applyProtection="1">
      <alignment horizontal="center" vertical="center"/>
      <protection/>
    </xf>
    <xf numFmtId="0" fontId="23" fillId="0" borderId="99" xfId="31" applyFont="1" applyBorder="1" applyAlignment="1">
      <alignment horizontal="left" vertical="center" wrapText="1"/>
      <protection/>
    </xf>
    <xf numFmtId="4" fontId="23" fillId="0" borderId="100" xfId="31" applyNumberFormat="1" applyFont="1" applyBorder="1" applyAlignment="1">
      <alignment horizontal="right" vertical="center" wrapText="1"/>
      <protection/>
    </xf>
    <xf numFmtId="4" fontId="23" fillId="0" borderId="101" xfId="31" applyNumberFormat="1" applyFont="1" applyBorder="1" applyAlignment="1">
      <alignment horizontal="right" vertical="center" wrapText="1"/>
      <protection/>
    </xf>
    <xf numFmtId="4" fontId="23" fillId="0" borderId="102" xfId="31" applyNumberFormat="1" applyFont="1" applyBorder="1" applyAlignment="1">
      <alignment horizontal="right" vertical="center" wrapText="1"/>
      <protection/>
    </xf>
    <xf numFmtId="4" fontId="23" fillId="7" borderId="103" xfId="28" applyNumberFormat="1" applyFont="1" applyFill="1" applyBorder="1" applyAlignment="1">
      <alignment horizontal="right" vertical="center" wrapText="1"/>
      <protection/>
    </xf>
    <xf numFmtId="1" fontId="22" fillId="5" borderId="17" xfId="28" applyNumberFormat="1" applyFont="1" applyFill="1" applyBorder="1" applyAlignment="1">
      <alignment horizontal="center" vertical="center" wrapText="1"/>
      <protection/>
    </xf>
    <xf numFmtId="0" fontId="22" fillId="5" borderId="19" xfId="28" applyFont="1" applyFill="1" applyBorder="1" applyAlignment="1">
      <alignment horizontal="center" vertical="center" wrapText="1"/>
      <protection/>
    </xf>
    <xf numFmtId="0" fontId="22" fillId="4" borderId="19" xfId="0" applyFont="1" applyFill="1" applyBorder="1" applyAlignment="1">
      <alignment vertical="center" wrapText="1"/>
    </xf>
    <xf numFmtId="4" fontId="22" fillId="5" borderId="20" xfId="28" applyNumberFormat="1" applyFont="1" applyFill="1" applyBorder="1" applyAlignment="1">
      <alignment vertical="center" wrapText="1"/>
      <protection/>
    </xf>
    <xf numFmtId="4" fontId="22" fillId="5" borderId="36" xfId="28" applyNumberFormat="1" applyFont="1" applyFill="1" applyBorder="1" applyAlignment="1">
      <alignment vertical="center" wrapText="1"/>
      <protection/>
    </xf>
    <xf numFmtId="4" fontId="22" fillId="5" borderId="21" xfId="28" applyNumberFormat="1" applyFont="1" applyFill="1" applyBorder="1" applyAlignment="1">
      <alignment vertical="center" wrapText="1"/>
      <protection/>
    </xf>
    <xf numFmtId="1" fontId="26" fillId="0" borderId="104" xfId="20" applyNumberFormat="1" applyFont="1" applyFill="1" applyBorder="1" applyAlignment="1" applyProtection="1">
      <alignment horizontal="left" vertical="center"/>
      <protection/>
    </xf>
    <xf numFmtId="0" fontId="23" fillId="0" borderId="16" xfId="31" applyFont="1" applyFill="1" applyBorder="1" applyAlignment="1">
      <alignment horizontal="center" vertical="center" wrapText="1"/>
      <protection/>
    </xf>
    <xf numFmtId="0" fontId="23" fillId="0" borderId="16" xfId="0" applyFont="1" applyFill="1" applyBorder="1" applyAlignment="1">
      <alignment vertical="center" wrapText="1"/>
    </xf>
    <xf numFmtId="4" fontId="23" fillId="0" borderId="92" xfId="31" applyNumberFormat="1" applyFont="1" applyFill="1" applyBorder="1" applyAlignment="1">
      <alignment vertical="center" wrapText="1"/>
      <protection/>
    </xf>
    <xf numFmtId="4" fontId="23" fillId="0" borderId="93" xfId="31" applyNumberFormat="1" applyFont="1" applyFill="1" applyBorder="1" applyAlignment="1">
      <alignment vertical="center" wrapText="1"/>
      <protection/>
    </xf>
    <xf numFmtId="4" fontId="23" fillId="0" borderId="94" xfId="31" applyNumberFormat="1" applyFont="1" applyFill="1" applyBorder="1" applyAlignment="1">
      <alignment vertical="center" wrapText="1"/>
      <protection/>
    </xf>
    <xf numFmtId="4" fontId="23" fillId="0" borderId="94" xfId="29" applyNumberFormat="1" applyFont="1" applyFill="1" applyBorder="1" applyAlignment="1">
      <alignment vertical="center" wrapText="1"/>
    </xf>
    <xf numFmtId="4" fontId="23" fillId="0" borderId="95" xfId="31" applyNumberFormat="1" applyFont="1" applyFill="1" applyBorder="1" applyAlignment="1">
      <alignment vertical="center" wrapText="1"/>
      <protection/>
    </xf>
    <xf numFmtId="0" fontId="26" fillId="0" borderId="7" xfId="20" applyFont="1" applyBorder="1" applyAlignment="1" applyProtection="1">
      <alignment horizontal="center" vertical="center"/>
      <protection/>
    </xf>
    <xf numFmtId="4" fontId="26" fillId="0" borderId="35" xfId="31" applyNumberFormat="1" applyFont="1" applyFill="1" applyBorder="1" applyAlignment="1">
      <alignment vertical="center" wrapText="1"/>
      <protection/>
    </xf>
    <xf numFmtId="0" fontId="26" fillId="0" borderId="52" xfId="0" applyFont="1" applyFill="1" applyBorder="1" applyAlignment="1">
      <alignment vertical="center" wrapText="1"/>
    </xf>
    <xf numFmtId="4" fontId="26" fillId="0" borderId="96" xfId="29" applyNumberFormat="1" applyFont="1" applyFill="1" applyBorder="1" applyAlignment="1">
      <alignment vertical="center" wrapText="1"/>
    </xf>
    <xf numFmtId="4" fontId="26" fillId="0" borderId="89" xfId="31" applyNumberFormat="1" applyFont="1" applyFill="1" applyBorder="1" applyAlignment="1">
      <alignment vertical="center" wrapText="1"/>
      <protection/>
    </xf>
    <xf numFmtId="1" fontId="26" fillId="0" borderId="69" xfId="20" applyNumberFormat="1" applyFont="1" applyBorder="1" applyAlignment="1" applyProtection="1">
      <alignment horizontal="left" vertical="center"/>
      <protection/>
    </xf>
    <xf numFmtId="49" fontId="26" fillId="0" borderId="70" xfId="31" applyNumberFormat="1" applyFont="1" applyBorder="1" applyAlignment="1">
      <alignment horizontal="center" vertical="center" wrapText="1"/>
      <protection/>
    </xf>
    <xf numFmtId="4" fontId="26" fillId="0" borderId="71" xfId="31" applyNumberFormat="1" applyFont="1" applyBorder="1" applyAlignment="1">
      <alignment vertical="center" wrapText="1"/>
      <protection/>
    </xf>
    <xf numFmtId="4" fontId="26" fillId="0" borderId="72" xfId="31" applyNumberFormat="1" applyFont="1" applyBorder="1" applyAlignment="1">
      <alignment vertical="center" wrapText="1"/>
      <protection/>
    </xf>
    <xf numFmtId="4" fontId="26" fillId="0" borderId="73" xfId="31" applyNumberFormat="1" applyFont="1" applyBorder="1" applyAlignment="1">
      <alignment vertical="center" wrapText="1"/>
      <protection/>
    </xf>
    <xf numFmtId="4" fontId="26" fillId="0" borderId="69" xfId="29" applyNumberFormat="1" applyFont="1" applyFill="1" applyBorder="1" applyAlignment="1">
      <alignment vertical="center" wrapText="1"/>
    </xf>
    <xf numFmtId="4" fontId="26" fillId="0" borderId="74" xfId="31" applyNumberFormat="1" applyFont="1" applyFill="1" applyBorder="1" applyAlignment="1">
      <alignment vertical="center" wrapText="1"/>
      <protection/>
    </xf>
    <xf numFmtId="1" fontId="22" fillId="5" borderId="22" xfId="28" applyNumberFormat="1" applyFont="1" applyFill="1" applyBorder="1" applyAlignment="1">
      <alignment horizontal="center" vertical="center" wrapText="1"/>
      <protection/>
    </xf>
    <xf numFmtId="0" fontId="22" fillId="5" borderId="16" xfId="28" applyFont="1" applyFill="1" applyBorder="1" applyAlignment="1">
      <alignment horizontal="center" vertical="center" wrapText="1"/>
      <protection/>
    </xf>
    <xf numFmtId="0" fontId="22" fillId="4" borderId="16" xfId="0" applyFont="1" applyFill="1" applyBorder="1" applyAlignment="1">
      <alignment vertical="center" wrapText="1"/>
    </xf>
    <xf numFmtId="4" fontId="22" fillId="5" borderId="4" xfId="28" applyNumberFormat="1" applyFont="1" applyFill="1" applyBorder="1" applyAlignment="1">
      <alignment vertical="center" wrapText="1"/>
      <protection/>
    </xf>
    <xf numFmtId="4" fontId="22" fillId="5" borderId="9" xfId="28" applyNumberFormat="1" applyFont="1" applyFill="1" applyBorder="1" applyAlignment="1">
      <alignment vertical="center" wrapText="1"/>
      <protection/>
    </xf>
    <xf numFmtId="4" fontId="22" fillId="4" borderId="9" xfId="28" applyNumberFormat="1" applyFont="1" applyFill="1" applyBorder="1" applyAlignment="1">
      <alignment vertical="center" wrapText="1"/>
      <protection/>
    </xf>
    <xf numFmtId="4" fontId="22" fillId="4" borderId="95" xfId="31" applyNumberFormat="1" applyFont="1" applyFill="1" applyBorder="1" applyAlignment="1">
      <alignment vertical="center" wrapText="1"/>
      <protection/>
    </xf>
    <xf numFmtId="4" fontId="26" fillId="0" borderId="0" xfId="31" applyNumberFormat="1" applyFont="1" applyBorder="1" applyAlignment="1">
      <alignment vertical="center" wrapText="1"/>
      <protection/>
    </xf>
    <xf numFmtId="4" fontId="26" fillId="0" borderId="52" xfId="31" applyNumberFormat="1" applyFont="1" applyBorder="1" applyAlignment="1">
      <alignment vertical="center" wrapText="1"/>
      <protection/>
    </xf>
    <xf numFmtId="4" fontId="26" fillId="0" borderId="88" xfId="29" applyNumberFormat="1" applyFont="1" applyFill="1" applyBorder="1" applyAlignment="1">
      <alignment vertical="center" wrapText="1"/>
    </xf>
    <xf numFmtId="0" fontId="26" fillId="0" borderId="38" xfId="0" applyFont="1" applyFill="1" applyBorder="1" applyAlignment="1">
      <alignment vertical="center" wrapText="1"/>
    </xf>
    <xf numFmtId="4" fontId="26" fillId="0" borderId="38" xfId="31" applyNumberFormat="1" applyFont="1" applyBorder="1" applyAlignment="1">
      <alignment vertical="center" wrapText="1"/>
      <protection/>
    </xf>
    <xf numFmtId="4" fontId="26" fillId="0" borderId="47" xfId="29" applyNumberFormat="1" applyFont="1" applyFill="1" applyBorder="1" applyAlignment="1">
      <alignment vertical="center" wrapText="1"/>
    </xf>
    <xf numFmtId="4" fontId="26" fillId="0" borderId="46" xfId="31" applyNumberFormat="1" applyFont="1" applyBorder="1" applyAlignment="1">
      <alignment vertical="center" wrapText="1"/>
      <protection/>
    </xf>
    <xf numFmtId="4" fontId="26" fillId="0" borderId="43" xfId="20" applyNumberFormat="1" applyFont="1" applyBorder="1" applyAlignment="1" applyProtection="1">
      <alignment vertical="center" wrapText="1"/>
      <protection/>
    </xf>
    <xf numFmtId="4" fontId="26" fillId="0" borderId="38" xfId="20" applyNumberFormat="1" applyFont="1" applyBorder="1" applyAlignment="1" applyProtection="1">
      <alignment vertical="center" wrapText="1"/>
      <protection/>
    </xf>
    <xf numFmtId="4" fontId="26" fillId="0" borderId="47" xfId="20" applyNumberFormat="1" applyFont="1" applyBorder="1" applyAlignment="1" applyProtection="1">
      <alignment vertical="center" wrapText="1"/>
      <protection/>
    </xf>
    <xf numFmtId="4" fontId="26" fillId="0" borderId="46" xfId="20" applyNumberFormat="1" applyFont="1" applyBorder="1" applyAlignment="1" applyProtection="1">
      <alignment vertical="center"/>
      <protection/>
    </xf>
    <xf numFmtId="1" fontId="26" fillId="0" borderId="69" xfId="20" applyNumberFormat="1" applyFont="1" applyBorder="1" applyAlignment="1" applyProtection="1">
      <alignment horizontal="center" vertical="center"/>
      <protection/>
    </xf>
    <xf numFmtId="0" fontId="26" fillId="0" borderId="70" xfId="0" applyFont="1" applyFill="1" applyBorder="1" applyAlignment="1">
      <alignment vertical="center" wrapText="1"/>
    </xf>
    <xf numFmtId="4" fontId="26" fillId="0" borderId="71" xfId="20" applyNumberFormat="1" applyFont="1" applyBorder="1" applyAlignment="1" applyProtection="1">
      <alignment vertical="center" wrapText="1"/>
      <protection/>
    </xf>
    <xf numFmtId="4" fontId="26" fillId="0" borderId="70" xfId="20" applyNumberFormat="1" applyFont="1" applyBorder="1" applyAlignment="1" applyProtection="1">
      <alignment vertical="center" wrapText="1"/>
      <protection/>
    </xf>
    <xf numFmtId="4" fontId="26" fillId="0" borderId="73" xfId="20" applyNumberFormat="1" applyFont="1" applyBorder="1" applyAlignment="1" applyProtection="1">
      <alignment vertical="center" wrapText="1"/>
      <protection/>
    </xf>
    <xf numFmtId="4" fontId="26" fillId="0" borderId="73" xfId="29" applyNumberFormat="1" applyFont="1" applyFill="1" applyBorder="1" applyAlignment="1">
      <alignment vertical="center" wrapText="1"/>
    </xf>
    <xf numFmtId="4" fontId="26" fillId="0" borderId="74" xfId="20" applyNumberFormat="1" applyFont="1" applyBorder="1" applyAlignment="1" applyProtection="1">
      <alignment vertical="center"/>
      <protection/>
    </xf>
    <xf numFmtId="0" fontId="22" fillId="2" borderId="105" xfId="20" applyFont="1" applyFill="1" applyBorder="1" applyAlignment="1" applyProtection="1">
      <alignment horizontal="center" vertical="center"/>
      <protection/>
    </xf>
    <xf numFmtId="1" fontId="22" fillId="2" borderId="70" xfId="20" applyNumberFormat="1" applyFont="1" applyFill="1" applyBorder="1" applyAlignment="1" applyProtection="1">
      <alignment horizontal="center" vertical="center"/>
      <protection/>
    </xf>
    <xf numFmtId="49" fontId="28" fillId="2" borderId="70" xfId="31" applyNumberFormat="1" applyFont="1" applyFill="1" applyBorder="1" applyAlignment="1">
      <alignment horizontal="center" vertical="center" wrapText="1"/>
      <protection/>
    </xf>
    <xf numFmtId="0" fontId="22" fillId="2" borderId="19" xfId="0" applyFont="1" applyFill="1" applyBorder="1" applyAlignment="1">
      <alignment horizontal="center" vertical="center" wrapText="1"/>
    </xf>
    <xf numFmtId="4" fontId="22" fillId="2" borderId="20" xfId="20" applyNumberFormat="1" applyFont="1" applyFill="1" applyBorder="1" applyAlignment="1" applyProtection="1">
      <alignment vertical="center" wrapText="1"/>
      <protection/>
    </xf>
    <xf numFmtId="4" fontId="22" fillId="2" borderId="36" xfId="20" applyNumberFormat="1" applyFont="1" applyFill="1" applyBorder="1" applyAlignment="1" applyProtection="1">
      <alignment vertical="center" wrapText="1"/>
      <protection/>
    </xf>
    <xf numFmtId="4" fontId="22" fillId="2" borderId="105" xfId="20" applyNumberFormat="1" applyFont="1" applyFill="1" applyBorder="1" applyAlignment="1" applyProtection="1">
      <alignment vertical="center" wrapText="1"/>
      <protection/>
    </xf>
    <xf numFmtId="4" fontId="22" fillId="2" borderId="106" xfId="20" applyNumberFormat="1" applyFont="1" applyFill="1" applyBorder="1" applyAlignment="1" applyProtection="1">
      <alignment vertical="center" wrapText="1"/>
      <protection/>
    </xf>
    <xf numFmtId="4" fontId="22" fillId="5" borderId="6" xfId="28" applyNumberFormat="1" applyFont="1" applyFill="1" applyBorder="1" applyAlignment="1">
      <alignment vertical="center" wrapText="1"/>
      <protection/>
    </xf>
    <xf numFmtId="49" fontId="26" fillId="0" borderId="107" xfId="31" applyNumberFormat="1" applyFont="1" applyBorder="1" applyAlignment="1">
      <alignment horizontal="center" vertical="center" wrapText="1"/>
      <protection/>
    </xf>
    <xf numFmtId="0" fontId="23" fillId="0" borderId="107" xfId="31" applyFont="1" applyBorder="1" applyAlignment="1">
      <alignment horizontal="left" vertical="center" wrapText="1"/>
      <protection/>
    </xf>
    <xf numFmtId="4" fontId="26" fillId="0" borderId="108" xfId="20" applyNumberFormat="1" applyFont="1" applyBorder="1" applyAlignment="1" applyProtection="1">
      <alignment vertical="center" wrapText="1"/>
      <protection/>
    </xf>
    <xf numFmtId="4" fontId="26" fillId="0" borderId="107" xfId="20" applyNumberFormat="1" applyFont="1" applyBorder="1" applyAlignment="1" applyProtection="1">
      <alignment vertical="center" wrapText="1"/>
      <protection/>
    </xf>
    <xf numFmtId="4" fontId="26" fillId="0" borderId="109" xfId="20" applyNumberFormat="1" applyFont="1" applyBorder="1" applyAlignment="1" applyProtection="1">
      <alignment vertical="center" wrapText="1"/>
      <protection/>
    </xf>
    <xf numFmtId="4" fontId="23" fillId="0" borderId="109" xfId="29" applyNumberFormat="1" applyFont="1" applyFill="1" applyBorder="1" applyAlignment="1">
      <alignment vertical="center" wrapText="1"/>
    </xf>
    <xf numFmtId="4" fontId="23" fillId="0" borderId="110" xfId="20" applyNumberFormat="1" applyFont="1" applyBorder="1" applyAlignment="1" applyProtection="1">
      <alignment vertical="center"/>
      <protection/>
    </xf>
    <xf numFmtId="4" fontId="23" fillId="0" borderId="73" xfId="29" applyNumberFormat="1" applyFont="1" applyFill="1" applyBorder="1" applyAlignment="1">
      <alignment vertical="center" wrapText="1"/>
    </xf>
    <xf numFmtId="4" fontId="23" fillId="0" borderId="74" xfId="20" applyNumberFormat="1" applyFont="1" applyBorder="1" applyAlignment="1" applyProtection="1">
      <alignment vertical="center"/>
      <protection/>
    </xf>
    <xf numFmtId="0" fontId="23" fillId="7" borderId="95" xfId="20" applyFont="1" applyFill="1" applyBorder="1" applyAlignment="1" applyProtection="1">
      <alignment horizontal="center" vertical="center"/>
      <protection/>
    </xf>
    <xf numFmtId="1" fontId="22" fillId="4" borderId="31" xfId="0" applyNumberFormat="1" applyFont="1" applyFill="1" applyBorder="1" applyAlignment="1" applyProtection="1">
      <alignment horizontal="center" vertical="center" wrapText="1"/>
      <protection/>
    </xf>
    <xf numFmtId="0" fontId="22" fillId="8" borderId="32" xfId="28" applyFont="1" applyFill="1" applyBorder="1" applyAlignment="1">
      <alignment horizontal="center" vertical="center" wrapText="1"/>
      <protection/>
    </xf>
    <xf numFmtId="0" fontId="22" fillId="9" borderId="32" xfId="31" applyFont="1" applyFill="1" applyBorder="1" applyAlignment="1">
      <alignment horizontal="left" vertical="center" wrapText="1"/>
      <protection/>
    </xf>
    <xf numFmtId="4" fontId="22" fillId="8" borderId="33" xfId="28" applyNumberFormat="1" applyFont="1" applyFill="1" applyBorder="1" applyAlignment="1">
      <alignment vertical="center" wrapText="1"/>
      <protection/>
    </xf>
    <xf numFmtId="4" fontId="22" fillId="8" borderId="34" xfId="28" applyNumberFormat="1" applyFont="1" applyFill="1" applyBorder="1" applyAlignment="1">
      <alignment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" fontId="23" fillId="0" borderId="4" xfId="31" applyNumberFormat="1" applyFont="1" applyBorder="1" applyAlignment="1">
      <alignment horizontal="left" vertical="center" wrapText="1"/>
      <protection/>
    </xf>
    <xf numFmtId="4" fontId="23" fillId="0" borderId="6" xfId="31" applyNumberFormat="1" applyFont="1" applyBorder="1" applyAlignment="1">
      <alignment horizontal="left" vertical="center" wrapText="1"/>
      <protection/>
    </xf>
    <xf numFmtId="4" fontId="22" fillId="10" borderId="4" xfId="29" applyNumberFormat="1" applyFont="1" applyFill="1" applyBorder="1" applyAlignment="1" applyProtection="1">
      <alignment horizontal="right" vertical="center" wrapText="1"/>
      <protection/>
    </xf>
    <xf numFmtId="4" fontId="22" fillId="0" borderId="4" xfId="31" applyNumberFormat="1" applyFont="1" applyBorder="1" applyAlignment="1">
      <alignment horizontal="right" vertical="center" wrapText="1"/>
      <protection/>
    </xf>
    <xf numFmtId="4" fontId="26" fillId="0" borderId="111" xfId="31" applyNumberFormat="1" applyFont="1" applyBorder="1" applyAlignment="1">
      <alignment horizontal="left" vertical="center" wrapText="1"/>
      <protection/>
    </xf>
    <xf numFmtId="0" fontId="23" fillId="0" borderId="16" xfId="31" applyFont="1" applyBorder="1" applyAlignment="1">
      <alignment horizontal="center" vertical="center" wrapText="1"/>
      <protection/>
    </xf>
    <xf numFmtId="0" fontId="25" fillId="0" borderId="16" xfId="31" applyFont="1" applyFill="1" applyBorder="1" applyAlignment="1">
      <alignment horizontal="left" vertical="center" wrapText="1"/>
      <protection/>
    </xf>
    <xf numFmtId="4" fontId="23" fillId="0" borderId="92" xfId="31" applyNumberFormat="1" applyFont="1" applyBorder="1" applyAlignment="1">
      <alignment horizontal="left" vertical="center" wrapText="1"/>
      <protection/>
    </xf>
    <xf numFmtId="4" fontId="23" fillId="0" borderId="112" xfId="31" applyNumberFormat="1" applyFont="1" applyBorder="1" applyAlignment="1">
      <alignment horizontal="left" vertical="center" wrapText="1"/>
      <protection/>
    </xf>
    <xf numFmtId="4" fontId="22" fillId="0" borderId="92" xfId="31" applyNumberFormat="1" applyFont="1" applyBorder="1" applyAlignment="1">
      <alignment horizontal="right" vertical="center" wrapText="1"/>
      <protection/>
    </xf>
    <xf numFmtId="0" fontId="28" fillId="0" borderId="0" xfId="31" applyFont="1" applyBorder="1" applyAlignment="1">
      <alignment horizontal="center" vertical="center" wrapText="1"/>
      <protection/>
    </xf>
    <xf numFmtId="0" fontId="22" fillId="0" borderId="0" xfId="31" applyFont="1" applyBorder="1" applyAlignment="1">
      <alignment horizontal="left" vertical="center" wrapText="1"/>
      <protection/>
    </xf>
    <xf numFmtId="4" fontId="22" fillId="0" borderId="4" xfId="29" applyNumberFormat="1" applyFont="1" applyFill="1" applyBorder="1" applyAlignment="1" applyProtection="1">
      <alignment horizontal="right" vertical="center" wrapText="1"/>
      <protection/>
    </xf>
    <xf numFmtId="4" fontId="22" fillId="0" borderId="6" xfId="29" applyNumberFormat="1" applyFont="1" applyFill="1" applyBorder="1" applyAlignment="1" applyProtection="1">
      <alignment horizontal="right" vertical="center" wrapText="1"/>
      <protection/>
    </xf>
    <xf numFmtId="4" fontId="26" fillId="0" borderId="4" xfId="29" applyNumberFormat="1" applyFont="1" applyFill="1" applyBorder="1" applyAlignment="1" applyProtection="1">
      <alignment horizontal="right" vertical="center" wrapText="1"/>
      <protection/>
    </xf>
    <xf numFmtId="4" fontId="26" fillId="0" borderId="6" xfId="29" applyNumberFormat="1" applyFont="1" applyFill="1" applyBorder="1" applyAlignment="1" applyProtection="1">
      <alignment horizontal="right" vertical="center" wrapText="1"/>
      <protection/>
    </xf>
    <xf numFmtId="4" fontId="28" fillId="0" borderId="4" xfId="29" applyNumberFormat="1" applyFont="1" applyFill="1" applyBorder="1" applyAlignment="1" applyProtection="1">
      <alignment horizontal="right" vertical="center" wrapText="1"/>
      <protection/>
    </xf>
    <xf numFmtId="0" fontId="26" fillId="0" borderId="22" xfId="20" applyFont="1" applyBorder="1" applyAlignment="1">
      <alignment vertical="center"/>
      <protection/>
    </xf>
    <xf numFmtId="0" fontId="22" fillId="0" borderId="22" xfId="20" applyFont="1" applyBorder="1" applyAlignment="1">
      <alignment vertical="center"/>
      <protection/>
    </xf>
    <xf numFmtId="4" fontId="22" fillId="0" borderId="4" xfId="20" applyNumberFormat="1" applyFont="1" applyBorder="1" applyAlignment="1" applyProtection="1">
      <alignment horizontal="left" vertical="center" wrapText="1"/>
      <protection/>
    </xf>
    <xf numFmtId="1" fontId="22" fillId="0" borderId="14" xfId="20" applyNumberFormat="1" applyFont="1" applyBorder="1" applyAlignment="1" applyProtection="1">
      <alignment horizontal="center" vertical="center"/>
      <protection/>
    </xf>
    <xf numFmtId="0" fontId="22" fillId="0" borderId="5" xfId="20" applyFont="1" applyBorder="1" applyAlignment="1" applyProtection="1">
      <alignment horizontal="center" vertical="center"/>
      <protection/>
    </xf>
    <xf numFmtId="0" fontId="22" fillId="0" borderId="5" xfId="31" applyFont="1" applyBorder="1" applyAlignment="1">
      <alignment horizontal="left" vertical="center" wrapText="1"/>
      <protection/>
    </xf>
    <xf numFmtId="4" fontId="22" fillId="0" borderId="12" xfId="29" applyNumberFormat="1" applyFont="1" applyFill="1" applyBorder="1" applyAlignment="1" applyProtection="1">
      <alignment horizontal="right" vertical="center" wrapText="1"/>
      <protection/>
    </xf>
    <xf numFmtId="4" fontId="22" fillId="0" borderId="37" xfId="29" applyNumberFormat="1" applyFont="1" applyFill="1" applyBorder="1" applyAlignment="1" applyProtection="1">
      <alignment horizontal="right" vertical="center" wrapText="1"/>
      <protection/>
    </xf>
    <xf numFmtId="4" fontId="22" fillId="0" borderId="12" xfId="20" applyNumberFormat="1" applyFont="1" applyBorder="1" applyAlignment="1" applyProtection="1">
      <alignment horizontal="left" vertical="center" wrapText="1"/>
      <protection/>
    </xf>
    <xf numFmtId="0" fontId="22" fillId="7" borderId="7" xfId="20" applyFont="1" applyFill="1" applyBorder="1" applyAlignment="1" applyProtection="1">
      <alignment horizontal="center" vertical="center"/>
      <protection/>
    </xf>
    <xf numFmtId="1" fontId="22" fillId="4" borderId="17" xfId="20" applyNumberFormat="1" applyFont="1" applyFill="1" applyBorder="1" applyAlignment="1" applyProtection="1">
      <alignment horizontal="center" vertical="center"/>
      <protection/>
    </xf>
    <xf numFmtId="0" fontId="22" fillId="4" borderId="19" xfId="0" applyFont="1" applyFill="1" applyBorder="1" applyAlignment="1">
      <alignment horizontal="center" vertical="center" wrapText="1"/>
    </xf>
    <xf numFmtId="0" fontId="22" fillId="4" borderId="19" xfId="20" applyFont="1" applyFill="1" applyBorder="1" applyAlignment="1">
      <alignment horizontal="left" vertical="center"/>
      <protection/>
    </xf>
    <xf numFmtId="4" fontId="22" fillId="4" borderId="20" xfId="20" applyNumberFormat="1" applyFont="1" applyFill="1" applyBorder="1" applyAlignment="1" applyProtection="1">
      <alignment vertical="center" wrapText="1"/>
      <protection/>
    </xf>
    <xf numFmtId="4" fontId="22" fillId="4" borderId="36" xfId="20" applyNumberFormat="1" applyFont="1" applyFill="1" applyBorder="1" applyAlignment="1" applyProtection="1">
      <alignment vertical="center" wrapText="1"/>
      <protection/>
    </xf>
    <xf numFmtId="4" fontId="22" fillId="4" borderId="105" xfId="20" applyNumberFormat="1" applyFont="1" applyFill="1" applyBorder="1" applyAlignment="1" applyProtection="1">
      <alignment vertical="center" wrapText="1"/>
      <protection/>
    </xf>
    <xf numFmtId="4" fontId="22" fillId="4" borderId="106" xfId="20" applyNumberFormat="1" applyFont="1" applyFill="1" applyBorder="1" applyAlignment="1" applyProtection="1">
      <alignment vertical="center" wrapText="1"/>
      <protection/>
    </xf>
    <xf numFmtId="1" fontId="23" fillId="0" borderId="94" xfId="20" applyNumberFormat="1" applyFont="1" applyBorder="1" applyAlignment="1" applyProtection="1">
      <alignment horizontal="center" vertical="center"/>
      <protection/>
    </xf>
    <xf numFmtId="4" fontId="23" fillId="0" borderId="92" xfId="29" applyNumberFormat="1" applyFont="1" applyFill="1" applyBorder="1" applyAlignment="1" applyProtection="1">
      <alignment horizontal="right" vertical="center" wrapText="1"/>
      <protection/>
    </xf>
    <xf numFmtId="4" fontId="23" fillId="0" borderId="93" xfId="29" applyNumberFormat="1" applyFont="1" applyFill="1" applyBorder="1" applyAlignment="1" applyProtection="1">
      <alignment horizontal="right" vertical="center" wrapText="1"/>
      <protection/>
    </xf>
    <xf numFmtId="4" fontId="23" fillId="0" borderId="94" xfId="29" applyNumberFormat="1" applyFont="1" applyFill="1" applyBorder="1" applyAlignment="1" applyProtection="1">
      <alignment horizontal="right" vertical="center" wrapText="1"/>
      <protection/>
    </xf>
    <xf numFmtId="4" fontId="23" fillId="0" borderId="94" xfId="20" applyNumberFormat="1" applyFont="1" applyBorder="1" applyAlignment="1" applyProtection="1">
      <alignment horizontal="left" vertical="center" wrapText="1"/>
      <protection/>
    </xf>
    <xf numFmtId="4" fontId="23" fillId="0" borderId="95" xfId="29" applyNumberFormat="1" applyFont="1" applyFill="1" applyBorder="1" applyAlignment="1" applyProtection="1">
      <alignment horizontal="right" vertical="center" wrapText="1"/>
      <protection/>
    </xf>
    <xf numFmtId="1" fontId="23" fillId="0" borderId="7" xfId="20" applyNumberFormat="1" applyFont="1" applyBorder="1" applyAlignment="1" applyProtection="1">
      <alignment horizontal="center" vertical="center"/>
      <protection/>
    </xf>
    <xf numFmtId="4" fontId="23" fillId="0" borderId="71" xfId="29" applyNumberFormat="1" applyFont="1" applyFill="1" applyBorder="1" applyAlignment="1" applyProtection="1">
      <alignment horizontal="right" vertical="center" wrapText="1"/>
      <protection/>
    </xf>
    <xf numFmtId="4" fontId="23" fillId="0" borderId="72" xfId="29" applyNumberFormat="1" applyFont="1" applyFill="1" applyBorder="1" applyAlignment="1" applyProtection="1">
      <alignment horizontal="right" vertical="center" wrapText="1"/>
      <protection/>
    </xf>
    <xf numFmtId="4" fontId="23" fillId="0" borderId="73" xfId="29" applyNumberFormat="1" applyFont="1" applyFill="1" applyBorder="1" applyAlignment="1" applyProtection="1">
      <alignment horizontal="right" vertical="center" wrapText="1"/>
      <protection/>
    </xf>
    <xf numFmtId="4" fontId="23" fillId="0" borderId="74" xfId="29" applyNumberFormat="1" applyFont="1" applyFill="1" applyBorder="1" applyAlignment="1" applyProtection="1">
      <alignment horizontal="right" vertical="center" wrapText="1"/>
      <protection/>
    </xf>
    <xf numFmtId="0" fontId="22" fillId="7" borderId="22" xfId="20" applyFont="1" applyFill="1" applyBorder="1" applyAlignment="1" applyProtection="1">
      <alignment horizontal="center" vertical="center"/>
      <protection/>
    </xf>
    <xf numFmtId="1" fontId="22" fillId="4" borderId="105" xfId="20" applyNumberFormat="1" applyFont="1" applyFill="1" applyBorder="1" applyAlignment="1" applyProtection="1">
      <alignment horizontal="center" vertical="center"/>
      <protection/>
    </xf>
    <xf numFmtId="0" fontId="23" fillId="0" borderId="0" xfId="31" applyFont="1" applyBorder="1" applyAlignment="1" quotePrefix="1">
      <alignment horizontal="left" vertical="center" wrapText="1"/>
      <protection/>
    </xf>
    <xf numFmtId="4" fontId="23" fillId="0" borderId="88" xfId="31" applyNumberFormat="1" applyFont="1" applyBorder="1" applyAlignment="1">
      <alignment horizontal="right" vertical="center" wrapText="1"/>
      <protection/>
    </xf>
    <xf numFmtId="0" fontId="22" fillId="0" borderId="7" xfId="20" applyFont="1" applyBorder="1" applyAlignment="1" applyProtection="1">
      <alignment horizontal="center" vertical="center"/>
      <protection/>
    </xf>
    <xf numFmtId="1" fontId="22" fillId="0" borderId="22" xfId="20" applyNumberFormat="1" applyFont="1" applyBorder="1" applyAlignment="1" applyProtection="1">
      <alignment horizontal="center" vertical="center"/>
      <protection/>
    </xf>
    <xf numFmtId="4" fontId="22" fillId="0" borderId="4" xfId="20" applyNumberFormat="1" applyFont="1" applyBorder="1" applyAlignment="1" applyProtection="1">
      <alignment horizontal="right" vertical="center" wrapText="1"/>
      <protection/>
    </xf>
    <xf numFmtId="4" fontId="22" fillId="0" borderId="9" xfId="20" applyNumberFormat="1" applyFont="1" applyBorder="1" applyAlignment="1" applyProtection="1">
      <alignment horizontal="right" vertical="center" wrapText="1"/>
      <protection/>
    </xf>
    <xf numFmtId="4" fontId="22" fillId="0" borderId="7" xfId="20" applyNumberFormat="1" applyFont="1" applyBorder="1" applyAlignment="1" applyProtection="1">
      <alignment horizontal="right" vertical="center" wrapText="1"/>
      <protection/>
    </xf>
    <xf numFmtId="4" fontId="22" fillId="0" borderId="35" xfId="20" applyNumberFormat="1" applyFont="1" applyBorder="1" applyAlignment="1" applyProtection="1">
      <alignment horizontal="right" vertical="center"/>
      <protection/>
    </xf>
    <xf numFmtId="0" fontId="26" fillId="0" borderId="0" xfId="20" applyFont="1" applyBorder="1" applyAlignment="1" applyProtection="1">
      <alignment horizontal="center" vertical="center"/>
      <protection/>
    </xf>
    <xf numFmtId="4" fontId="26" fillId="0" borderId="9" xfId="20" applyNumberFormat="1" applyFont="1" applyBorder="1" applyAlignment="1" applyProtection="1">
      <alignment horizontal="right" vertical="center" wrapText="1"/>
      <protection/>
    </xf>
    <xf numFmtId="4" fontId="26" fillId="0" borderId="7" xfId="20" applyNumberFormat="1" applyFont="1" applyBorder="1" applyAlignment="1" applyProtection="1">
      <alignment horizontal="right" vertical="center" wrapText="1"/>
      <protection/>
    </xf>
    <xf numFmtId="4" fontId="26" fillId="0" borderId="35" xfId="20" applyNumberFormat="1" applyFont="1" applyBorder="1" applyAlignment="1" applyProtection="1">
      <alignment horizontal="right" vertical="center"/>
      <protection/>
    </xf>
    <xf numFmtId="0" fontId="22" fillId="0" borderId="73" xfId="20" applyFont="1" applyBorder="1" applyAlignment="1" applyProtection="1">
      <alignment horizontal="center" vertical="center"/>
      <protection/>
    </xf>
    <xf numFmtId="1" fontId="22" fillId="0" borderId="69" xfId="20" applyNumberFormat="1" applyFont="1" applyBorder="1" applyAlignment="1" applyProtection="1">
      <alignment horizontal="center" vertical="center"/>
      <protection/>
    </xf>
    <xf numFmtId="4" fontId="22" fillId="0" borderId="71" xfId="20" applyNumberFormat="1" applyFont="1" applyBorder="1" applyAlignment="1" applyProtection="1">
      <alignment horizontal="right" vertical="center" wrapText="1"/>
      <protection/>
    </xf>
    <xf numFmtId="4" fontId="22" fillId="0" borderId="72" xfId="20" applyNumberFormat="1" applyFont="1" applyBorder="1" applyAlignment="1" applyProtection="1">
      <alignment horizontal="right" vertical="center" wrapText="1"/>
      <protection/>
    </xf>
    <xf numFmtId="4" fontId="22" fillId="0" borderId="73" xfId="20" applyNumberFormat="1" applyFont="1" applyBorder="1" applyAlignment="1" applyProtection="1">
      <alignment horizontal="right" vertical="center" wrapText="1"/>
      <protection/>
    </xf>
    <xf numFmtId="4" fontId="22" fillId="0" borderId="74" xfId="20" applyNumberFormat="1" applyFont="1" applyBorder="1" applyAlignment="1" applyProtection="1">
      <alignment horizontal="right" vertical="center"/>
      <protection/>
    </xf>
    <xf numFmtId="0" fontId="22" fillId="2" borderId="17" xfId="15" applyFont="1" applyFill="1" applyBorder="1" applyAlignment="1">
      <alignment horizontal="center" vertical="center" wrapText="1"/>
      <protection/>
    </xf>
    <xf numFmtId="0" fontId="23" fillId="0" borderId="22" xfId="25" applyFont="1" applyBorder="1" applyAlignment="1" applyProtection="1" quotePrefix="1">
      <alignment horizontal="center" vertical="center"/>
      <protection/>
    </xf>
    <xf numFmtId="0" fontId="23" fillId="5" borderId="70" xfId="28" applyFont="1" applyFill="1" applyBorder="1" applyAlignment="1">
      <alignment horizontal="center" vertical="center" wrapText="1"/>
      <protection/>
    </xf>
    <xf numFmtId="0" fontId="22" fillId="5" borderId="70" xfId="28" applyFont="1" applyFill="1" applyBorder="1" applyAlignment="1">
      <alignment horizontal="left" vertical="center" wrapText="1"/>
      <protection/>
    </xf>
    <xf numFmtId="4" fontId="22" fillId="5" borderId="71" xfId="28" applyNumberFormat="1" applyFont="1" applyFill="1" applyBorder="1" applyAlignment="1">
      <alignment horizontal="right" vertical="center" wrapText="1"/>
      <protection/>
    </xf>
    <xf numFmtId="4" fontId="22" fillId="5" borderId="113" xfId="28" applyNumberFormat="1" applyFont="1" applyFill="1" applyBorder="1" applyAlignment="1">
      <alignment horizontal="right" vertical="center" wrapText="1"/>
      <protection/>
    </xf>
    <xf numFmtId="0" fontId="23" fillId="0" borderId="0" xfId="25" applyFont="1" applyBorder="1" applyAlignment="1">
      <alignment horizontal="left" vertical="center" wrapText="1"/>
      <protection/>
    </xf>
    <xf numFmtId="4" fontId="23" fillId="0" borderId="4" xfId="25" applyNumberFormat="1" applyFont="1" applyBorder="1" applyAlignment="1">
      <alignment horizontal="right" vertical="center" wrapText="1"/>
      <protection/>
    </xf>
    <xf numFmtId="4" fontId="23" fillId="0" borderId="0" xfId="25" applyNumberFormat="1" applyFont="1" applyBorder="1" applyAlignment="1">
      <alignment horizontal="right" vertical="center" wrapText="1"/>
      <protection/>
    </xf>
    <xf numFmtId="4" fontId="23" fillId="0" borderId="7" xfId="25" applyNumberFormat="1" applyFont="1" applyBorder="1" applyAlignment="1">
      <alignment horizontal="right" vertical="center" wrapText="1"/>
      <protection/>
    </xf>
    <xf numFmtId="4" fontId="23" fillId="0" borderId="6" xfId="31" applyNumberFormat="1" applyFont="1" applyBorder="1" applyAlignment="1">
      <alignment horizontal="right" vertical="center" wrapText="1"/>
      <protection/>
    </xf>
    <xf numFmtId="0" fontId="23" fillId="0" borderId="38" xfId="31" applyFont="1" applyBorder="1" applyAlignment="1">
      <alignment horizontal="center" vertical="center" wrapText="1"/>
      <protection/>
    </xf>
    <xf numFmtId="0" fontId="23" fillId="0" borderId="38" xfId="25" applyFont="1" applyBorder="1" applyAlignment="1">
      <alignment horizontal="left" vertical="center" wrapText="1"/>
      <protection/>
    </xf>
    <xf numFmtId="4" fontId="23" fillId="0" borderId="43" xfId="25" applyNumberFormat="1" applyFont="1" applyBorder="1" applyAlignment="1">
      <alignment horizontal="right" vertical="center" wrapText="1"/>
      <protection/>
    </xf>
    <xf numFmtId="4" fontId="23" fillId="0" borderId="38" xfId="25" applyNumberFormat="1" applyFont="1" applyBorder="1" applyAlignment="1">
      <alignment horizontal="right" vertical="center" wrapText="1"/>
      <protection/>
    </xf>
    <xf numFmtId="4" fontId="23" fillId="0" borderId="47" xfId="25" applyNumberFormat="1" applyFont="1" applyBorder="1" applyAlignment="1">
      <alignment horizontal="right" vertical="center" wrapText="1"/>
      <protection/>
    </xf>
    <xf numFmtId="4" fontId="23" fillId="0" borderId="56" xfId="31" applyNumberFormat="1" applyFont="1" applyBorder="1" applyAlignment="1">
      <alignment horizontal="right" vertical="center" wrapText="1"/>
      <protection/>
    </xf>
    <xf numFmtId="0" fontId="22" fillId="2" borderId="105" xfId="15" applyFont="1" applyBorder="1" applyAlignment="1">
      <alignment horizontal="center" vertical="center" wrapText="1"/>
      <protection/>
    </xf>
    <xf numFmtId="1" fontId="22" fillId="2" borderId="105" xfId="15" applyNumberFormat="1" applyFont="1" applyBorder="1" applyAlignment="1" quotePrefix="1">
      <alignment horizontal="center" vertical="center" wrapText="1"/>
      <protection/>
    </xf>
    <xf numFmtId="4" fontId="22" fillId="2" borderId="17" xfId="15" applyNumberFormat="1" applyFont="1" applyBorder="1" applyAlignment="1">
      <alignment horizontal="center" vertical="center" wrapText="1"/>
      <protection/>
    </xf>
    <xf numFmtId="4" fontId="22" fillId="2" borderId="105" xfId="15" applyNumberFormat="1" applyFont="1" applyBorder="1" applyAlignment="1">
      <alignment horizontal="center" vertical="center" wrapText="1"/>
      <protection/>
    </xf>
    <xf numFmtId="4" fontId="22" fillId="2" borderId="105" xfId="15" applyNumberFormat="1" applyFont="1" applyBorder="1" applyAlignment="1">
      <alignment horizontal="right" vertical="center" wrapText="1"/>
      <protection/>
    </xf>
    <xf numFmtId="4" fontId="22" fillId="2" borderId="106" xfId="15" applyNumberFormat="1" applyFont="1" applyBorder="1" applyAlignment="1">
      <alignment horizontal="right" vertical="center" wrapText="1"/>
      <protection/>
    </xf>
    <xf numFmtId="1" fontId="22" fillId="5" borderId="73" xfId="28" applyNumberFormat="1" applyFont="1" applyFill="1" applyBorder="1" applyAlignment="1" quotePrefix="1">
      <alignment horizontal="center" vertical="center" wrapText="1"/>
      <protection/>
    </xf>
    <xf numFmtId="4" fontId="22" fillId="5" borderId="105" xfId="28" applyNumberFormat="1" applyFont="1" applyFill="1" applyBorder="1" applyAlignment="1">
      <alignment horizontal="left" vertical="center" wrapText="1"/>
      <protection/>
    </xf>
    <xf numFmtId="4" fontId="22" fillId="5" borderId="70" xfId="28" applyNumberFormat="1" applyFont="1" applyFill="1" applyBorder="1" applyAlignment="1">
      <alignment horizontal="left" vertical="center" wrapText="1"/>
      <protection/>
    </xf>
    <xf numFmtId="4" fontId="22" fillId="5" borderId="73" xfId="28" applyNumberFormat="1" applyFont="1" applyFill="1" applyBorder="1" applyAlignment="1">
      <alignment horizontal="left" vertical="center" wrapText="1"/>
      <protection/>
    </xf>
    <xf numFmtId="4" fontId="22" fillId="5" borderId="72" xfId="28" applyNumberFormat="1" applyFont="1" applyFill="1" applyBorder="1" applyAlignment="1">
      <alignment horizontal="right" vertical="center" wrapText="1"/>
      <protection/>
    </xf>
    <xf numFmtId="4" fontId="22" fillId="5" borderId="73" xfId="28" applyNumberFormat="1" applyFont="1" applyFill="1" applyBorder="1" applyAlignment="1">
      <alignment horizontal="right" vertical="center" wrapText="1"/>
      <protection/>
    </xf>
    <xf numFmtId="4" fontId="22" fillId="5" borderId="74" xfId="28" applyNumberFormat="1" applyFont="1" applyFill="1" applyBorder="1" applyAlignment="1">
      <alignment horizontal="right" vertical="center" wrapText="1"/>
      <protection/>
    </xf>
    <xf numFmtId="1" fontId="23" fillId="0" borderId="7" xfId="25" applyNumberFormat="1" applyFont="1" applyBorder="1" applyAlignment="1" applyProtection="1">
      <alignment horizontal="center" vertical="center" wrapText="1"/>
      <protection/>
    </xf>
    <xf numFmtId="0" fontId="23" fillId="0" borderId="52" xfId="31" applyFont="1" applyBorder="1" applyAlignment="1">
      <alignment horizontal="center" vertical="center" wrapText="1"/>
      <protection/>
    </xf>
    <xf numFmtId="0" fontId="23" fillId="0" borderId="114" xfId="31" applyFont="1" applyBorder="1" applyAlignment="1">
      <alignment horizontal="left" vertical="center" wrapText="1"/>
      <protection/>
    </xf>
    <xf numFmtId="4" fontId="23" fillId="0" borderId="87" xfId="31" applyNumberFormat="1" applyFont="1" applyBorder="1" applyAlignment="1">
      <alignment horizontal="right" vertical="center" wrapText="1"/>
      <protection/>
    </xf>
    <xf numFmtId="1" fontId="22" fillId="5" borderId="105" xfId="28" applyNumberFormat="1" applyFont="1" applyFill="1" applyBorder="1" applyAlignment="1" quotePrefix="1">
      <alignment horizontal="center" vertical="center" wrapText="1"/>
      <protection/>
    </xf>
    <xf numFmtId="0" fontId="23" fillId="5" borderId="19" xfId="28" applyFont="1" applyFill="1" applyBorder="1" applyAlignment="1">
      <alignment horizontal="center" vertical="center" wrapText="1"/>
      <protection/>
    </xf>
    <xf numFmtId="0" fontId="22" fillId="5" borderId="19" xfId="28" applyFont="1" applyFill="1" applyBorder="1" applyAlignment="1">
      <alignment horizontal="left" vertical="center" wrapText="1"/>
      <protection/>
    </xf>
    <xf numFmtId="4" fontId="22" fillId="5" borderId="19" xfId="28" applyNumberFormat="1" applyFont="1" applyFill="1" applyBorder="1" applyAlignment="1">
      <alignment horizontal="left" vertical="center" wrapText="1"/>
      <protection/>
    </xf>
    <xf numFmtId="4" fontId="22" fillId="5" borderId="36" xfId="28" applyNumberFormat="1" applyFont="1" applyFill="1" applyBorder="1" applyAlignment="1">
      <alignment horizontal="right" vertical="center" wrapText="1"/>
      <protection/>
    </xf>
    <xf numFmtId="4" fontId="22" fillId="5" borderId="105" xfId="28" applyNumberFormat="1" applyFont="1" applyFill="1" applyBorder="1" applyAlignment="1">
      <alignment horizontal="right" vertical="center" wrapText="1"/>
      <protection/>
    </xf>
    <xf numFmtId="4" fontId="22" fillId="5" borderId="106" xfId="28" applyNumberFormat="1" applyFont="1" applyFill="1" applyBorder="1" applyAlignment="1">
      <alignment horizontal="right" vertical="center" wrapText="1"/>
      <protection/>
    </xf>
    <xf numFmtId="0" fontId="23" fillId="0" borderId="26" xfId="31" applyFont="1" applyBorder="1" applyAlignment="1">
      <alignment horizontal="center" vertical="center" wrapText="1"/>
      <protection/>
    </xf>
    <xf numFmtId="4" fontId="23" fillId="0" borderId="73" xfId="31" applyNumberFormat="1" applyFont="1" applyBorder="1" applyAlignment="1" quotePrefix="1">
      <alignment horizontal="left" vertical="center" wrapText="1"/>
      <protection/>
    </xf>
    <xf numFmtId="1" fontId="22" fillId="2" borderId="105" xfId="15" applyNumberFormat="1" applyFont="1" applyBorder="1" applyAlignment="1">
      <alignment horizontal="center" vertical="center" wrapText="1"/>
      <protection/>
    </xf>
    <xf numFmtId="4" fontId="23" fillId="2" borderId="17" xfId="15" applyNumberFormat="1" applyFont="1" applyBorder="1" applyAlignment="1">
      <alignment horizontal="center" vertical="center" wrapText="1"/>
      <protection/>
    </xf>
    <xf numFmtId="4" fontId="22" fillId="2" borderId="17" xfId="15" applyNumberFormat="1" applyFont="1" applyBorder="1" applyAlignment="1">
      <alignment horizontal="right" vertical="center" wrapText="1"/>
      <protection/>
    </xf>
    <xf numFmtId="4" fontId="23" fillId="0" borderId="22" xfId="25" applyNumberFormat="1" applyFont="1" applyBorder="1" applyAlignment="1" applyProtection="1" quotePrefix="1">
      <alignment horizontal="center" vertical="center"/>
      <protection/>
    </xf>
    <xf numFmtId="4" fontId="23" fillId="5" borderId="70" xfId="28" applyNumberFormat="1" applyFont="1" applyFill="1" applyBorder="1" applyAlignment="1">
      <alignment horizontal="center" vertical="center" wrapText="1"/>
      <protection/>
    </xf>
    <xf numFmtId="1" fontId="23" fillId="0" borderId="7" xfId="31" applyNumberFormat="1" applyFont="1" applyBorder="1" applyAlignment="1">
      <alignment horizontal="center" vertical="center" wrapText="1"/>
      <protection/>
    </xf>
    <xf numFmtId="4" fontId="23" fillId="0" borderId="26" xfId="31" applyNumberFormat="1" applyFont="1" applyBorder="1" applyAlignment="1">
      <alignment horizontal="center" vertical="center" wrapText="1"/>
      <protection/>
    </xf>
    <xf numFmtId="4" fontId="23" fillId="0" borderId="26" xfId="31" applyNumberFormat="1" applyFont="1" applyBorder="1" applyAlignment="1">
      <alignment horizontal="left" vertical="center" wrapText="1"/>
      <protection/>
    </xf>
    <xf numFmtId="4" fontId="23" fillId="0" borderId="50" xfId="31" applyNumberFormat="1" applyFont="1" applyBorder="1" applyAlignment="1">
      <alignment horizontal="left" vertical="center" wrapText="1"/>
      <protection/>
    </xf>
    <xf numFmtId="4" fontId="23" fillId="0" borderId="49" xfId="31" applyNumberFormat="1" applyFont="1" applyBorder="1" applyAlignment="1">
      <alignment horizontal="right" vertical="center" wrapText="1"/>
      <protection/>
    </xf>
    <xf numFmtId="4" fontId="23" fillId="0" borderId="50" xfId="31" applyNumberFormat="1" applyFont="1" applyBorder="1" applyAlignment="1">
      <alignment horizontal="right" vertical="center" wrapText="1"/>
      <protection/>
    </xf>
    <xf numFmtId="4" fontId="23" fillId="0" borderId="110" xfId="31" applyNumberFormat="1" applyFont="1" applyBorder="1" applyAlignment="1">
      <alignment horizontal="right" vertical="center" wrapText="1"/>
      <protection/>
    </xf>
    <xf numFmtId="4" fontId="23" fillId="0" borderId="102" xfId="31" applyNumberFormat="1" applyFont="1" applyBorder="1" applyAlignment="1">
      <alignment horizontal="left" vertical="center" wrapText="1"/>
      <protection/>
    </xf>
    <xf numFmtId="4" fontId="30" fillId="0" borderId="49" xfId="31" applyNumberFormat="1" applyFont="1" applyBorder="1" applyAlignment="1">
      <alignment horizontal="right" vertical="center" wrapText="1"/>
      <protection/>
    </xf>
    <xf numFmtId="4" fontId="23" fillId="0" borderId="51" xfId="31" applyNumberFormat="1" applyFont="1" applyBorder="1" applyAlignment="1">
      <alignment horizontal="right" vertical="center" wrapText="1"/>
      <protection/>
    </xf>
    <xf numFmtId="4" fontId="22" fillId="0" borderId="22" xfId="25" applyNumberFormat="1" applyFont="1" applyBorder="1" applyAlignment="1" applyProtection="1">
      <alignment horizontal="center" vertical="center"/>
      <protection/>
    </xf>
    <xf numFmtId="4" fontId="23" fillId="0" borderId="8" xfId="28" applyNumberFormat="1" applyFont="1" applyFill="1" applyBorder="1" applyAlignment="1">
      <alignment horizontal="center" vertical="center" wrapText="1"/>
      <protection/>
    </xf>
    <xf numFmtId="4" fontId="22" fillId="0" borderId="8" xfId="28" applyNumberFormat="1" applyFont="1" applyFill="1" applyBorder="1" applyAlignment="1">
      <alignment horizontal="left" vertical="center" wrapText="1"/>
      <protection/>
    </xf>
    <xf numFmtId="4" fontId="22" fillId="0" borderId="68" xfId="28" applyNumberFormat="1" applyFont="1" applyFill="1" applyBorder="1" applyAlignment="1">
      <alignment horizontal="right" vertical="center" wrapText="1"/>
      <protection/>
    </xf>
    <xf numFmtId="0" fontId="22" fillId="0" borderId="22" xfId="25" applyFont="1" applyBorder="1" applyAlignment="1" applyProtection="1">
      <alignment horizontal="center" vertical="center"/>
      <protection/>
    </xf>
    <xf numFmtId="0" fontId="31" fillId="0" borderId="0" xfId="28" applyFont="1" applyFill="1" applyBorder="1" applyAlignment="1">
      <alignment horizontal="left" vertical="center" wrapText="1"/>
      <protection/>
    </xf>
    <xf numFmtId="4" fontId="31" fillId="0" borderId="4" xfId="28" applyNumberFormat="1" applyFont="1" applyFill="1" applyBorder="1" applyAlignment="1">
      <alignment horizontal="left" vertical="center" wrapText="1"/>
      <protection/>
    </xf>
    <xf numFmtId="4" fontId="31" fillId="0" borderId="0" xfId="28" applyNumberFormat="1" applyFont="1" applyFill="1" applyBorder="1" applyAlignment="1">
      <alignment horizontal="left" vertical="center" wrapText="1"/>
      <protection/>
    </xf>
    <xf numFmtId="4" fontId="31" fillId="0" borderId="7" xfId="28" applyNumberFormat="1" applyFont="1" applyFill="1" applyBorder="1" applyAlignment="1">
      <alignment horizontal="left" vertical="center" wrapText="1"/>
      <protection/>
    </xf>
    <xf numFmtId="4" fontId="22" fillId="0" borderId="7" xfId="31" applyNumberFormat="1" applyFont="1" applyBorder="1" applyAlignment="1">
      <alignment horizontal="right" vertical="center" wrapText="1"/>
      <protection/>
    </xf>
    <xf numFmtId="4" fontId="22" fillId="0" borderId="35" xfId="31" applyNumberFormat="1" applyFont="1" applyBorder="1" applyAlignment="1">
      <alignment horizontal="right" vertical="center" wrapText="1"/>
      <protection/>
    </xf>
    <xf numFmtId="0" fontId="26" fillId="0" borderId="0" xfId="28" applyFont="1" applyFill="1" applyBorder="1" applyAlignment="1">
      <alignment horizontal="left" vertical="center" wrapText="1"/>
      <protection/>
    </xf>
    <xf numFmtId="4" fontId="26" fillId="0" borderId="4" xfId="28" applyNumberFormat="1" applyFont="1" applyFill="1" applyBorder="1" applyAlignment="1">
      <alignment horizontal="left" vertical="center" wrapText="1"/>
      <protection/>
    </xf>
    <xf numFmtId="4" fontId="26" fillId="0" borderId="0" xfId="28" applyNumberFormat="1" applyFont="1" applyFill="1" applyBorder="1" applyAlignment="1">
      <alignment horizontal="left" vertical="center" wrapText="1"/>
      <protection/>
    </xf>
    <xf numFmtId="4" fontId="26" fillId="0" borderId="7" xfId="28" applyNumberFormat="1" applyFont="1" applyFill="1" applyBorder="1" applyAlignment="1">
      <alignment horizontal="left" vertical="center" wrapText="1"/>
      <protection/>
    </xf>
    <xf numFmtId="0" fontId="22" fillId="0" borderId="0" xfId="28" applyFont="1" applyFill="1" applyBorder="1" applyAlignment="1">
      <alignment horizontal="center" vertical="center" wrapText="1"/>
      <protection/>
    </xf>
    <xf numFmtId="0" fontId="32" fillId="0" borderId="0" xfId="28" applyFont="1" applyFill="1" applyBorder="1" applyAlignment="1">
      <alignment horizontal="left" vertical="center" wrapText="1"/>
      <protection/>
    </xf>
    <xf numFmtId="4" fontId="32" fillId="0" borderId="4" xfId="28" applyNumberFormat="1" applyFont="1" applyFill="1" applyBorder="1" applyAlignment="1">
      <alignment horizontal="left" vertical="center" wrapText="1"/>
      <protection/>
    </xf>
    <xf numFmtId="4" fontId="32" fillId="0" borderId="0" xfId="28" applyNumberFormat="1" applyFont="1" applyFill="1" applyBorder="1" applyAlignment="1">
      <alignment horizontal="left" vertical="center" wrapText="1"/>
      <protection/>
    </xf>
    <xf numFmtId="4" fontId="32" fillId="0" borderId="7" xfId="28" applyNumberFormat="1" applyFont="1" applyFill="1" applyBorder="1" applyAlignment="1">
      <alignment horizontal="left" vertical="center" wrapText="1"/>
      <protection/>
    </xf>
    <xf numFmtId="4" fontId="28" fillId="0" borderId="9" xfId="28" applyNumberFormat="1" applyFont="1" applyFill="1" applyBorder="1" applyAlignment="1">
      <alignment horizontal="right" vertical="center" wrapText="1"/>
      <protection/>
    </xf>
    <xf numFmtId="4" fontId="28" fillId="0" borderId="7" xfId="31" applyNumberFormat="1" applyFont="1" applyBorder="1" applyAlignment="1">
      <alignment horizontal="right" vertical="center" wrapText="1"/>
      <protection/>
    </xf>
    <xf numFmtId="4" fontId="28" fillId="0" borderId="35" xfId="31" applyNumberFormat="1" applyFont="1" applyBorder="1" applyAlignment="1">
      <alignment horizontal="right" vertical="center" wrapText="1"/>
      <protection/>
    </xf>
    <xf numFmtId="1" fontId="28" fillId="0" borderId="7" xfId="28" applyNumberFormat="1" applyFont="1" applyFill="1" applyBorder="1" applyAlignment="1" quotePrefix="1">
      <alignment horizontal="center" vertical="center" wrapText="1"/>
      <protection/>
    </xf>
    <xf numFmtId="0" fontId="26" fillId="0" borderId="0" xfId="28" applyFont="1" applyFill="1" applyBorder="1" applyAlignment="1" quotePrefix="1">
      <alignment horizontal="center" vertical="center" wrapText="1"/>
      <protection/>
    </xf>
    <xf numFmtId="4" fontId="26" fillId="0" borderId="115" xfId="31" applyNumberFormat="1" applyFont="1" applyBorder="1" applyAlignment="1">
      <alignment horizontal="right" vertical="center" wrapText="1"/>
      <protection/>
    </xf>
    <xf numFmtId="4" fontId="26" fillId="0" borderId="116" xfId="31" applyNumberFormat="1" applyFont="1" applyBorder="1" applyAlignment="1">
      <alignment horizontal="right" vertical="center" wrapText="1"/>
      <protection/>
    </xf>
    <xf numFmtId="0" fontId="26" fillId="0" borderId="22" xfId="0" applyFont="1" applyBorder="1" applyAlignment="1">
      <alignment vertical="center"/>
    </xf>
    <xf numFmtId="1" fontId="28" fillId="0" borderId="10" xfId="28" applyNumberFormat="1" applyFont="1" applyFill="1" applyBorder="1" applyAlignment="1" quotePrefix="1">
      <alignment horizontal="center" vertical="center" wrapText="1"/>
      <protection/>
    </xf>
    <xf numFmtId="4" fontId="28" fillId="0" borderId="4" xfId="28" applyNumberFormat="1" applyFont="1" applyFill="1" applyBorder="1" applyAlignment="1">
      <alignment horizontal="right" vertical="center" wrapText="1"/>
      <protection/>
    </xf>
    <xf numFmtId="4" fontId="26" fillId="0" borderId="7" xfId="31" applyNumberFormat="1" applyFont="1" applyBorder="1" applyAlignment="1">
      <alignment horizontal="right" vertical="center" wrapText="1"/>
      <protection/>
    </xf>
    <xf numFmtId="4" fontId="26" fillId="0" borderId="35" xfId="31" applyNumberFormat="1" applyFont="1" applyBorder="1" applyAlignment="1">
      <alignment horizontal="right" vertical="center" wrapText="1"/>
      <protection/>
    </xf>
    <xf numFmtId="4" fontId="26" fillId="0" borderId="117" xfId="31" applyNumberFormat="1" applyFont="1" applyBorder="1" applyAlignment="1">
      <alignment horizontal="right" vertical="center" wrapText="1"/>
      <protection/>
    </xf>
    <xf numFmtId="4" fontId="26" fillId="7" borderId="116" xfId="28" applyNumberFormat="1" applyFont="1" applyFill="1" applyBorder="1" applyAlignment="1">
      <alignment horizontal="right" vertical="center" wrapText="1"/>
      <protection/>
    </xf>
    <xf numFmtId="4" fontId="26" fillId="0" borderId="118" xfId="31" applyNumberFormat="1" applyFont="1" applyBorder="1" applyAlignment="1">
      <alignment horizontal="right" vertical="center" wrapText="1"/>
      <protection/>
    </xf>
    <xf numFmtId="4" fontId="26" fillId="7" borderId="119" xfId="28" applyNumberFormat="1" applyFont="1" applyFill="1" applyBorder="1" applyAlignment="1">
      <alignment horizontal="right" vertical="center" wrapText="1"/>
      <protection/>
    </xf>
    <xf numFmtId="0" fontId="23" fillId="0" borderId="16" xfId="28" applyFont="1" applyFill="1" applyBorder="1" applyAlignment="1">
      <alignment horizontal="center" vertical="center" wrapText="1"/>
      <protection/>
    </xf>
    <xf numFmtId="0" fontId="31" fillId="0" borderId="16" xfId="28" applyFont="1" applyFill="1" applyBorder="1" applyAlignment="1">
      <alignment horizontal="left" vertical="center" wrapText="1"/>
      <protection/>
    </xf>
    <xf numFmtId="4" fontId="31" fillId="0" borderId="92" xfId="28" applyNumberFormat="1" applyFont="1" applyFill="1" applyBorder="1" applyAlignment="1">
      <alignment horizontal="left" vertical="center" wrapText="1"/>
      <protection/>
    </xf>
    <xf numFmtId="4" fontId="31" fillId="0" borderId="16" xfId="28" applyNumberFormat="1" applyFont="1" applyFill="1" applyBorder="1" applyAlignment="1">
      <alignment horizontal="left" vertical="center" wrapText="1"/>
      <protection/>
    </xf>
    <xf numFmtId="4" fontId="31" fillId="0" borderId="94" xfId="28" applyNumberFormat="1" applyFont="1" applyFill="1" applyBorder="1" applyAlignment="1">
      <alignment horizontal="left" vertical="center" wrapText="1"/>
      <protection/>
    </xf>
    <xf numFmtId="4" fontId="22" fillId="0" borderId="93" xfId="28" applyNumberFormat="1" applyFont="1" applyFill="1" applyBorder="1" applyAlignment="1">
      <alignment horizontal="right" vertical="center" wrapText="1"/>
      <protection/>
    </xf>
    <xf numFmtId="4" fontId="22" fillId="0" borderId="94" xfId="31" applyNumberFormat="1" applyFont="1" applyBorder="1" applyAlignment="1">
      <alignment horizontal="right" vertical="center" wrapText="1"/>
      <protection/>
    </xf>
    <xf numFmtId="4" fontId="22" fillId="0" borderId="95" xfId="31" applyNumberFormat="1" applyFont="1" applyBorder="1" applyAlignment="1">
      <alignment horizontal="right" vertical="center" wrapText="1"/>
      <protection/>
    </xf>
    <xf numFmtId="4" fontId="22" fillId="0" borderId="120" xfId="31" applyNumberFormat="1" applyFont="1" applyBorder="1" applyAlignment="1">
      <alignment horizontal="right" vertical="center" wrapText="1"/>
      <protection/>
    </xf>
    <xf numFmtId="4" fontId="26" fillId="0" borderId="9" xfId="31" applyNumberFormat="1" applyFont="1" applyBorder="1" applyAlignment="1">
      <alignment horizontal="right" vertical="center" wrapText="1"/>
      <protection/>
    </xf>
    <xf numFmtId="4" fontId="26" fillId="0" borderId="6" xfId="31" applyNumberFormat="1" applyFont="1" applyBorder="1" applyAlignment="1">
      <alignment horizontal="right" vertical="center" wrapText="1"/>
      <protection/>
    </xf>
    <xf numFmtId="4" fontId="26" fillId="7" borderId="121" xfId="28" applyNumberFormat="1" applyFont="1" applyFill="1" applyBorder="1" applyAlignment="1">
      <alignment horizontal="right" vertical="center" wrapText="1"/>
      <protection/>
    </xf>
    <xf numFmtId="4" fontId="26" fillId="0" borderId="73" xfId="31" applyNumberFormat="1" applyFont="1" applyBorder="1" applyAlignment="1">
      <alignment horizontal="right" vertical="center" wrapText="1"/>
      <protection/>
    </xf>
    <xf numFmtId="0" fontId="31" fillId="0" borderId="22" xfId="0" applyFont="1" applyBorder="1" applyAlignment="1">
      <alignment vertical="center"/>
    </xf>
    <xf numFmtId="1" fontId="31" fillId="0" borderId="10" xfId="28" applyNumberFormat="1" applyFont="1" applyFill="1" applyBorder="1" applyAlignment="1" quotePrefix="1">
      <alignment horizontal="center" vertical="center" wrapText="1"/>
      <protection/>
    </xf>
    <xf numFmtId="0" fontId="31" fillId="0" borderId="16" xfId="28" applyFont="1" applyFill="1" applyBorder="1" applyAlignment="1" quotePrefix="1">
      <alignment horizontal="center" vertical="center" wrapText="1"/>
      <protection/>
    </xf>
    <xf numFmtId="4" fontId="31" fillId="0" borderId="92" xfId="28" applyNumberFormat="1" applyFont="1" applyFill="1" applyBorder="1" applyAlignment="1">
      <alignment horizontal="right" vertical="center" wrapText="1"/>
      <protection/>
    </xf>
    <xf numFmtId="4" fontId="31" fillId="0" borderId="93" xfId="28" applyNumberFormat="1" applyFont="1" applyFill="1" applyBorder="1" applyAlignment="1">
      <alignment horizontal="right" vertical="center" wrapText="1"/>
      <protection/>
    </xf>
    <xf numFmtId="4" fontId="31" fillId="0" borderId="122" xfId="28" applyNumberFormat="1" applyFont="1" applyFill="1" applyBorder="1" applyAlignment="1">
      <alignment horizontal="right" vertical="center" wrapText="1"/>
      <protection/>
    </xf>
    <xf numFmtId="0" fontId="23" fillId="0" borderId="22" xfId="0" applyFont="1" applyBorder="1" applyAlignment="1">
      <alignment vertical="center"/>
    </xf>
    <xf numFmtId="1" fontId="22" fillId="0" borderId="61" xfId="28" applyNumberFormat="1" applyFont="1" applyFill="1" applyBorder="1" applyAlignment="1" quotePrefix="1">
      <alignment horizontal="center" vertical="center" wrapText="1"/>
      <protection/>
    </xf>
    <xf numFmtId="0" fontId="23" fillId="0" borderId="70" xfId="28" applyFont="1" applyFill="1" applyBorder="1" applyAlignment="1">
      <alignment horizontal="center" vertical="center" wrapText="1"/>
      <protection/>
    </xf>
    <xf numFmtId="0" fontId="23" fillId="0" borderId="70" xfId="28" applyFont="1" applyFill="1" applyBorder="1" applyAlignment="1">
      <alignment horizontal="left" vertical="center" wrapText="1"/>
      <protection/>
    </xf>
    <xf numFmtId="4" fontId="22" fillId="0" borderId="71" xfId="28" applyNumberFormat="1" applyFont="1" applyFill="1" applyBorder="1" applyAlignment="1">
      <alignment horizontal="right" vertical="center" wrapText="1"/>
      <protection/>
    </xf>
    <xf numFmtId="4" fontId="22" fillId="0" borderId="72" xfId="28" applyNumberFormat="1" applyFont="1" applyFill="1" applyBorder="1" applyAlignment="1">
      <alignment horizontal="right" vertical="center" wrapText="1"/>
      <protection/>
    </xf>
    <xf numFmtId="4" fontId="23" fillId="0" borderId="72" xfId="31" applyNumberFormat="1" applyFont="1" applyBorder="1" applyAlignment="1">
      <alignment horizontal="right" vertical="center" wrapText="1"/>
      <protection/>
    </xf>
    <xf numFmtId="4" fontId="23" fillId="7" borderId="119" xfId="28" applyNumberFormat="1" applyFont="1" applyFill="1" applyBorder="1" applyAlignment="1">
      <alignment horizontal="right" vertical="center" wrapText="1"/>
      <protection/>
    </xf>
    <xf numFmtId="4" fontId="22" fillId="5" borderId="33" xfId="28" applyNumberFormat="1" applyFont="1" applyFill="1" applyBorder="1" applyAlignment="1">
      <alignment horizontal="right" vertical="center" wrapText="1"/>
      <protection/>
    </xf>
    <xf numFmtId="4" fontId="22" fillId="5" borderId="123" xfId="28" applyNumberFormat="1" applyFont="1" applyFill="1" applyBorder="1" applyAlignment="1">
      <alignment horizontal="right" vertical="center" wrapText="1"/>
      <protection/>
    </xf>
    <xf numFmtId="4" fontId="22" fillId="5" borderId="34" xfId="28" applyNumberFormat="1" applyFont="1" applyFill="1" applyBorder="1" applyAlignment="1">
      <alignment horizontal="right" vertical="center" wrapText="1"/>
      <protection/>
    </xf>
    <xf numFmtId="0" fontId="23" fillId="0" borderId="99" xfId="28" applyFont="1" applyFill="1" applyBorder="1" applyAlignment="1">
      <alignment horizontal="center" vertical="center" wrapText="1"/>
      <protection/>
    </xf>
    <xf numFmtId="0" fontId="31" fillId="0" borderId="99" xfId="28" applyFont="1" applyFill="1" applyBorder="1" applyAlignment="1">
      <alignment horizontal="left" vertical="center" wrapText="1"/>
      <protection/>
    </xf>
    <xf numFmtId="4" fontId="31" fillId="0" borderId="100" xfId="28" applyNumberFormat="1" applyFont="1" applyFill="1" applyBorder="1" applyAlignment="1">
      <alignment horizontal="left" vertical="center" wrapText="1"/>
      <protection/>
    </xf>
    <xf numFmtId="4" fontId="31" fillId="0" borderId="99" xfId="28" applyNumberFormat="1" applyFont="1" applyFill="1" applyBorder="1" applyAlignment="1">
      <alignment horizontal="left" vertical="center" wrapText="1"/>
      <protection/>
    </xf>
    <xf numFmtId="4" fontId="31" fillId="0" borderId="102" xfId="28" applyNumberFormat="1" applyFont="1" applyFill="1" applyBorder="1" applyAlignment="1">
      <alignment horizontal="left" vertical="center" wrapText="1"/>
      <protection/>
    </xf>
    <xf numFmtId="4" fontId="22" fillId="0" borderId="101" xfId="28" applyNumberFormat="1" applyFont="1" applyFill="1" applyBorder="1" applyAlignment="1">
      <alignment horizontal="right" vertical="center" wrapText="1"/>
      <protection/>
    </xf>
    <xf numFmtId="4" fontId="22" fillId="0" borderId="102" xfId="31" applyNumberFormat="1" applyFont="1" applyBorder="1" applyAlignment="1">
      <alignment horizontal="right" vertical="center" wrapText="1"/>
      <protection/>
    </xf>
    <xf numFmtId="4" fontId="22" fillId="0" borderId="103" xfId="31" applyNumberFormat="1" applyFont="1" applyBorder="1" applyAlignment="1">
      <alignment horizontal="right" vertical="center" wrapText="1"/>
      <protection/>
    </xf>
    <xf numFmtId="0" fontId="22" fillId="0" borderId="16" xfId="28" applyFont="1" applyFill="1" applyBorder="1" applyAlignment="1">
      <alignment horizontal="left" vertical="center" wrapText="1"/>
      <protection/>
    </xf>
    <xf numFmtId="4" fontId="22" fillId="0" borderId="124" xfId="28" applyNumberFormat="1" applyFont="1" applyFill="1" applyBorder="1" applyAlignment="1">
      <alignment horizontal="right" vertical="center" wrapText="1"/>
      <protection/>
    </xf>
    <xf numFmtId="4" fontId="22" fillId="0" borderId="90" xfId="28" applyNumberFormat="1" applyFont="1" applyFill="1" applyBorder="1" applyAlignment="1">
      <alignment horizontal="right" vertical="center" wrapText="1"/>
      <protection/>
    </xf>
    <xf numFmtId="0" fontId="31" fillId="0" borderId="0" xfId="31" applyFont="1" applyBorder="1" applyAlignment="1" quotePrefix="1">
      <alignment horizontal="left" vertical="center" wrapText="1"/>
      <protection/>
    </xf>
    <xf numFmtId="4" fontId="31" fillId="0" borderId="7" xfId="31" applyNumberFormat="1" applyFont="1" applyBorder="1" applyAlignment="1">
      <alignment horizontal="right" vertical="center" wrapText="1"/>
      <protection/>
    </xf>
    <xf numFmtId="4" fontId="31" fillId="0" borderId="35" xfId="31" applyNumberFormat="1" applyFont="1" applyBorder="1" applyAlignment="1">
      <alignment horizontal="right" vertical="center" wrapText="1"/>
      <protection/>
    </xf>
    <xf numFmtId="1" fontId="26" fillId="0" borderId="91" xfId="28" applyNumberFormat="1" applyFont="1" applyFill="1" applyBorder="1" applyAlignment="1" quotePrefix="1">
      <alignment horizontal="center" vertical="center" wrapText="1"/>
      <protection/>
    </xf>
    <xf numFmtId="4" fontId="26" fillId="0" borderId="9" xfId="28" applyNumberFormat="1" applyFont="1" applyFill="1" applyBorder="1" applyAlignment="1">
      <alignment horizontal="right" vertical="center" wrapText="1"/>
      <protection/>
    </xf>
    <xf numFmtId="1" fontId="22" fillId="0" borderId="125" xfId="28" applyNumberFormat="1" applyFont="1" applyFill="1" applyBorder="1" applyAlignment="1" quotePrefix="1">
      <alignment horizontal="center" vertical="center" wrapText="1"/>
      <protection/>
    </xf>
    <xf numFmtId="0" fontId="23" fillId="0" borderId="0" xfId="28" applyFont="1" applyFill="1" applyBorder="1" applyAlignment="1" quotePrefix="1">
      <alignment horizontal="center" vertical="center" wrapText="1"/>
      <protection/>
    </xf>
    <xf numFmtId="4" fontId="26" fillId="0" borderId="9" xfId="28" applyNumberFormat="1" applyFont="1" applyFill="1" applyBorder="1" applyAlignment="1">
      <alignment horizontal="left" vertical="center" wrapText="1"/>
      <protection/>
    </xf>
    <xf numFmtId="4" fontId="26" fillId="0" borderId="7" xfId="28" applyNumberFormat="1" applyFont="1" applyFill="1" applyBorder="1" applyAlignment="1">
      <alignment horizontal="right" vertical="center" wrapText="1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1" fontId="26" fillId="0" borderId="10" xfId="28" applyNumberFormat="1" applyFont="1" applyFill="1" applyBorder="1" applyAlignment="1" quotePrefix="1">
      <alignment horizontal="center" vertical="center" wrapText="1"/>
      <protection/>
    </xf>
    <xf numFmtId="4" fontId="26" fillId="0" borderId="4" xfId="28" applyNumberFormat="1" applyFont="1" applyFill="1" applyBorder="1" applyAlignment="1">
      <alignment horizontal="right" vertical="center" wrapText="1"/>
      <protection/>
    </xf>
    <xf numFmtId="4" fontId="26" fillId="0" borderId="35" xfId="28" applyNumberFormat="1" applyFont="1" applyFill="1" applyBorder="1" applyAlignment="1">
      <alignment horizontal="right" vertical="center" wrapText="1"/>
      <protection/>
    </xf>
    <xf numFmtId="1" fontId="26" fillId="0" borderId="7" xfId="28" applyNumberFormat="1" applyFont="1" applyFill="1" applyBorder="1" applyAlignment="1" quotePrefix="1">
      <alignment horizontal="center" vertical="center" wrapText="1"/>
      <protection/>
    </xf>
    <xf numFmtId="4" fontId="26" fillId="0" borderId="0" xfId="28" applyNumberFormat="1" applyFont="1" applyFill="1" applyBorder="1" applyAlignment="1">
      <alignment horizontal="right" vertical="center" wrapText="1"/>
      <protection/>
    </xf>
    <xf numFmtId="4" fontId="26" fillId="0" borderId="71" xfId="28" applyNumberFormat="1" applyFont="1" applyFill="1" applyBorder="1" applyAlignment="1">
      <alignment horizontal="right" vertical="center" wrapText="1"/>
      <protection/>
    </xf>
    <xf numFmtId="4" fontId="22" fillId="0" borderId="92" xfId="28" applyNumberFormat="1" applyFont="1" applyFill="1" applyBorder="1" applyAlignment="1">
      <alignment horizontal="right" vertical="center" wrapText="1"/>
      <protection/>
    </xf>
    <xf numFmtId="4" fontId="22" fillId="0" borderId="16" xfId="28" applyNumberFormat="1" applyFont="1" applyFill="1" applyBorder="1" applyAlignment="1">
      <alignment horizontal="right" vertical="center" wrapText="1"/>
      <protection/>
    </xf>
    <xf numFmtId="4" fontId="22" fillId="0" borderId="94" xfId="28" applyNumberFormat="1" applyFont="1" applyFill="1" applyBorder="1" applyAlignment="1">
      <alignment horizontal="right" vertical="center" wrapText="1"/>
      <protection/>
    </xf>
    <xf numFmtId="4" fontId="31" fillId="0" borderId="95" xfId="28" applyNumberFormat="1" applyFont="1" applyFill="1" applyBorder="1" applyAlignment="1">
      <alignment horizontal="right" vertical="center" wrapText="1"/>
      <protection/>
    </xf>
    <xf numFmtId="4" fontId="23" fillId="7" borderId="126" xfId="28" applyNumberFormat="1" applyFont="1" applyFill="1" applyBorder="1" applyAlignment="1">
      <alignment horizontal="right" vertical="center" wrapText="1"/>
      <protection/>
    </xf>
    <xf numFmtId="0" fontId="22" fillId="0" borderId="16" xfId="31" applyFont="1" applyBorder="1" applyAlignment="1">
      <alignment horizontal="left" vertical="center" wrapText="1"/>
      <protection/>
    </xf>
    <xf numFmtId="4" fontId="23" fillId="7" borderId="127" xfId="28" applyNumberFormat="1" applyFont="1" applyFill="1" applyBorder="1" applyAlignment="1">
      <alignment horizontal="right" vertical="center" wrapText="1"/>
      <protection/>
    </xf>
    <xf numFmtId="0" fontId="23" fillId="0" borderId="2" xfId="31" applyFont="1" applyBorder="1" applyAlignment="1">
      <alignment horizontal="center" vertical="center" wrapText="1"/>
      <protection/>
    </xf>
    <xf numFmtId="0" fontId="23" fillId="0" borderId="2" xfId="28" applyFont="1" applyFill="1" applyBorder="1" applyAlignment="1">
      <alignment horizontal="left" vertical="center" wrapText="1"/>
      <protection/>
    </xf>
    <xf numFmtId="4" fontId="22" fillId="0" borderId="39" xfId="28" applyNumberFormat="1" applyFont="1" applyFill="1" applyBorder="1" applyAlignment="1">
      <alignment horizontal="right" vertical="center" wrapText="1"/>
      <protection/>
    </xf>
    <xf numFmtId="4" fontId="22" fillId="0" borderId="128" xfId="28" applyNumberFormat="1" applyFont="1" applyFill="1" applyBorder="1" applyAlignment="1">
      <alignment horizontal="right" vertical="center" wrapText="1"/>
      <protection/>
    </xf>
    <xf numFmtId="4" fontId="23" fillId="7" borderId="39" xfId="28" applyNumberFormat="1" applyFont="1" applyFill="1" applyBorder="1" applyAlignment="1">
      <alignment horizontal="right" vertical="center" wrapText="1"/>
      <protection/>
    </xf>
    <xf numFmtId="4" fontId="22" fillId="0" borderId="12" xfId="28" applyNumberFormat="1" applyFont="1" applyFill="1" applyBorder="1" applyAlignment="1">
      <alignment horizontal="right" vertical="center" wrapText="1"/>
      <protection/>
    </xf>
    <xf numFmtId="4" fontId="22" fillId="0" borderId="37" xfId="28" applyNumberFormat="1" applyFont="1" applyFill="1" applyBorder="1" applyAlignment="1">
      <alignment horizontal="right" vertical="center" wrapText="1"/>
      <protection/>
    </xf>
    <xf numFmtId="4" fontId="23" fillId="7" borderId="129" xfId="28" applyNumberFormat="1" applyFont="1" applyFill="1" applyBorder="1" applyAlignment="1">
      <alignment horizontal="right" vertical="center" wrapText="1"/>
      <protection/>
    </xf>
    <xf numFmtId="4" fontId="23" fillId="0" borderId="3" xfId="31" applyNumberFormat="1" applyFont="1" applyBorder="1" applyAlignment="1">
      <alignment horizontal="left" vertical="center" wrapText="1"/>
      <protection/>
    </xf>
    <xf numFmtId="4" fontId="23" fillId="0" borderId="0" xfId="31" applyNumberFormat="1" applyFont="1" applyBorder="1" applyAlignment="1">
      <alignment horizontal="left" vertical="center" wrapText="1"/>
      <protection/>
    </xf>
    <xf numFmtId="4" fontId="23" fillId="0" borderId="7" xfId="31" applyNumberFormat="1" applyFont="1" applyBorder="1" applyAlignment="1">
      <alignment horizontal="left" vertical="center" wrapText="1"/>
      <protection/>
    </xf>
    <xf numFmtId="4" fontId="23" fillId="0" borderId="22" xfId="25" applyNumberFormat="1" applyFont="1" applyBorder="1" applyAlignment="1" applyProtection="1">
      <alignment horizontal="center" vertical="center"/>
      <protection/>
    </xf>
    <xf numFmtId="1" fontId="22" fillId="5" borderId="84" xfId="28" applyNumberFormat="1" applyFont="1" applyFill="1" applyBorder="1" applyAlignment="1" quotePrefix="1">
      <alignment horizontal="center" vertical="center" wrapText="1"/>
      <protection/>
    </xf>
    <xf numFmtId="4" fontId="23" fillId="5" borderId="32" xfId="28" applyNumberFormat="1" applyFont="1" applyFill="1" applyBorder="1" applyAlignment="1">
      <alignment horizontal="center" vertical="center" wrapText="1"/>
      <protection/>
    </xf>
    <xf numFmtId="4" fontId="22" fillId="5" borderId="32" xfId="28" applyNumberFormat="1" applyFont="1" applyFill="1" applyBorder="1" applyAlignment="1">
      <alignment horizontal="left" vertical="center" wrapText="1"/>
      <protection/>
    </xf>
    <xf numFmtId="4" fontId="22" fillId="5" borderId="64" xfId="28" applyNumberFormat="1" applyFont="1" applyFill="1" applyBorder="1" applyAlignment="1">
      <alignment horizontal="right" vertical="center" wrapText="1"/>
      <protection/>
    </xf>
    <xf numFmtId="4" fontId="23" fillId="0" borderId="52" xfId="28" applyNumberFormat="1" applyFont="1" applyFill="1" applyBorder="1" applyAlignment="1">
      <alignment horizontal="center" vertical="center" wrapText="1"/>
      <protection/>
    </xf>
    <xf numFmtId="4" fontId="23" fillId="0" borderId="52" xfId="28" applyNumberFormat="1" applyFont="1" applyFill="1" applyBorder="1" applyAlignment="1">
      <alignment horizontal="left" vertical="center" wrapText="1"/>
      <protection/>
    </xf>
    <xf numFmtId="4" fontId="23" fillId="0" borderId="53" xfId="28" applyNumberFormat="1" applyFont="1" applyFill="1" applyBorder="1" applyAlignment="1">
      <alignment horizontal="left" vertical="center" wrapText="1"/>
      <protection/>
    </xf>
    <xf numFmtId="4" fontId="23" fillId="0" borderId="88" xfId="28" applyNumberFormat="1" applyFont="1" applyFill="1" applyBorder="1" applyAlignment="1">
      <alignment horizontal="left" vertical="center" wrapText="1"/>
      <protection/>
    </xf>
    <xf numFmtId="4" fontId="23" fillId="0" borderId="38" xfId="28" applyNumberFormat="1" applyFont="1" applyFill="1" applyBorder="1" applyAlignment="1">
      <alignment horizontal="center" vertical="center" wrapText="1"/>
      <protection/>
    </xf>
    <xf numFmtId="4" fontId="23" fillId="0" borderId="38" xfId="28" applyNumberFormat="1" applyFont="1" applyFill="1" applyBorder="1" applyAlignment="1">
      <alignment horizontal="left" vertical="center" wrapText="1"/>
      <protection/>
    </xf>
    <xf numFmtId="4" fontId="23" fillId="0" borderId="43" xfId="28" applyNumberFormat="1" applyFont="1" applyFill="1" applyBorder="1" applyAlignment="1">
      <alignment horizontal="left" vertical="center" wrapText="1"/>
      <protection/>
    </xf>
    <xf numFmtId="4" fontId="23" fillId="0" borderId="47" xfId="28" applyNumberFormat="1" applyFont="1" applyFill="1" applyBorder="1" applyAlignment="1">
      <alignment horizontal="left" vertical="center" wrapText="1"/>
      <protection/>
    </xf>
    <xf numFmtId="4" fontId="23" fillId="0" borderId="46" xfId="28" applyNumberFormat="1" applyFont="1" applyFill="1" applyBorder="1" applyAlignment="1">
      <alignment horizontal="right" vertical="center" wrapText="1"/>
      <protection/>
    </xf>
    <xf numFmtId="4" fontId="23" fillId="5" borderId="1" xfId="28" applyNumberFormat="1" applyFont="1" applyFill="1" applyBorder="1" applyAlignment="1">
      <alignment horizontal="center" vertical="center" wrapText="1"/>
      <protection/>
    </xf>
    <xf numFmtId="4" fontId="22" fillId="5" borderId="1" xfId="28" applyNumberFormat="1" applyFont="1" applyFill="1" applyBorder="1" applyAlignment="1">
      <alignment horizontal="left" vertical="center" wrapText="1"/>
      <protection/>
    </xf>
    <xf numFmtId="4" fontId="22" fillId="0" borderId="8" xfId="28" applyNumberFormat="1" applyFont="1" applyFill="1" applyBorder="1" applyAlignment="1">
      <alignment horizontal="center" vertical="center" wrapText="1"/>
      <protection/>
    </xf>
    <xf numFmtId="4" fontId="23" fillId="0" borderId="5" xfId="28" applyNumberFormat="1" applyFont="1" applyFill="1" applyBorder="1" applyAlignment="1">
      <alignment horizontal="center" vertical="center" wrapText="1"/>
      <protection/>
    </xf>
    <xf numFmtId="4" fontId="23" fillId="0" borderId="5" xfId="28" applyNumberFormat="1" applyFont="1" applyFill="1" applyBorder="1" applyAlignment="1">
      <alignment horizontal="left" vertical="center" wrapText="1"/>
      <protection/>
    </xf>
    <xf numFmtId="4" fontId="23" fillId="0" borderId="12" xfId="28" applyNumberFormat="1" applyFont="1" applyFill="1" applyBorder="1" applyAlignment="1">
      <alignment horizontal="left" vertical="center" wrapText="1"/>
      <protection/>
    </xf>
    <xf numFmtId="4" fontId="23" fillId="0" borderId="24" xfId="28" applyNumberFormat="1" applyFont="1" applyFill="1" applyBorder="1" applyAlignment="1">
      <alignment horizontal="left" vertical="center" wrapText="1"/>
      <protection/>
    </xf>
    <xf numFmtId="4" fontId="22" fillId="0" borderId="23" xfId="28" applyNumberFormat="1" applyFont="1" applyFill="1" applyBorder="1" applyAlignment="1">
      <alignment horizontal="right" vertical="center" wrapText="1"/>
      <protection/>
    </xf>
    <xf numFmtId="4" fontId="23" fillId="0" borderId="24" xfId="28" applyNumberFormat="1" applyFont="1" applyFill="1" applyBorder="1" applyAlignment="1">
      <alignment horizontal="right" vertical="center" wrapText="1"/>
      <protection/>
    </xf>
    <xf numFmtId="4" fontId="23" fillId="0" borderId="25" xfId="28" applyNumberFormat="1" applyFont="1" applyFill="1" applyBorder="1" applyAlignment="1">
      <alignment horizontal="right" vertical="center" wrapText="1"/>
      <protection/>
    </xf>
    <xf numFmtId="4" fontId="23" fillId="0" borderId="4" xfId="28" applyNumberFormat="1" applyFont="1" applyFill="1" applyBorder="1" applyAlignment="1">
      <alignment horizontal="left" vertical="center" wrapText="1"/>
      <protection/>
    </xf>
    <xf numFmtId="4" fontId="23" fillId="0" borderId="0" xfId="28" applyNumberFormat="1" applyFont="1" applyFill="1" applyBorder="1" applyAlignment="1">
      <alignment horizontal="left" vertical="center" wrapText="1"/>
      <protection/>
    </xf>
    <xf numFmtId="4" fontId="23" fillId="0" borderId="7" xfId="28" applyNumberFormat="1" applyFont="1" applyFill="1" applyBorder="1" applyAlignment="1">
      <alignment horizontal="left" vertical="center" wrapText="1"/>
      <protection/>
    </xf>
    <xf numFmtId="4" fontId="23" fillId="5" borderId="75" xfId="28" applyNumberFormat="1" applyFont="1" applyFill="1" applyBorder="1" applyAlignment="1">
      <alignment horizontal="center" vertical="center" wrapText="1"/>
      <protection/>
    </xf>
    <xf numFmtId="4" fontId="22" fillId="5" borderId="75" xfId="28" applyNumberFormat="1" applyFont="1" applyFill="1" applyBorder="1" applyAlignment="1">
      <alignment horizontal="left" vertical="center" wrapText="1"/>
      <protection/>
    </xf>
    <xf numFmtId="4" fontId="22" fillId="5" borderId="130" xfId="28" applyNumberFormat="1" applyFont="1" applyFill="1" applyBorder="1" applyAlignment="1">
      <alignment horizontal="right" vertical="center" wrapText="1"/>
      <protection/>
    </xf>
    <xf numFmtId="4" fontId="22" fillId="5" borderId="131" xfId="28" applyNumberFormat="1" applyFont="1" applyFill="1" applyBorder="1" applyAlignment="1">
      <alignment horizontal="right" vertical="center" wrapText="1"/>
      <protection/>
    </xf>
    <xf numFmtId="4" fontId="23" fillId="0" borderId="22" xfId="25" applyNumberFormat="1" applyFont="1" applyFill="1" applyBorder="1" applyAlignment="1" applyProtection="1">
      <alignment horizontal="center" vertical="center"/>
      <protection/>
    </xf>
    <xf numFmtId="4" fontId="23" fillId="0" borderId="0" xfId="28" applyNumberFormat="1" applyFont="1" applyFill="1" applyBorder="1" applyAlignment="1">
      <alignment horizontal="center" vertical="center" wrapText="1"/>
      <protection/>
    </xf>
    <xf numFmtId="4" fontId="23" fillId="0" borderId="25" xfId="31" applyNumberFormat="1" applyFont="1" applyBorder="1" applyAlignment="1">
      <alignment horizontal="right" vertical="center" wrapText="1"/>
      <protection/>
    </xf>
    <xf numFmtId="4" fontId="22" fillId="5" borderId="132" xfId="28" applyNumberFormat="1" applyFont="1" applyFill="1" applyBorder="1" applyAlignment="1">
      <alignment horizontal="right" vertical="center" wrapText="1"/>
      <protection/>
    </xf>
    <xf numFmtId="4" fontId="22" fillId="5" borderId="133" xfId="28" applyNumberFormat="1" applyFont="1" applyFill="1" applyBorder="1" applyAlignment="1">
      <alignment horizontal="right" vertical="center" wrapText="1"/>
      <protection/>
    </xf>
    <xf numFmtId="4" fontId="22" fillId="0" borderId="0" xfId="28" applyNumberFormat="1" applyFont="1" applyFill="1" applyBorder="1" applyAlignment="1">
      <alignment horizontal="left" vertical="center" wrapText="1"/>
      <protection/>
    </xf>
    <xf numFmtId="4" fontId="22" fillId="0" borderId="7" xfId="28" applyNumberFormat="1" applyFont="1" applyFill="1" applyBorder="1" applyAlignment="1">
      <alignment horizontal="right" vertical="center" wrapText="1"/>
      <protection/>
    </xf>
    <xf numFmtId="4" fontId="22" fillId="0" borderId="35" xfId="28" applyNumberFormat="1" applyFont="1" applyFill="1" applyBorder="1" applyAlignment="1">
      <alignment horizontal="right" vertical="center" wrapText="1"/>
      <protection/>
    </xf>
    <xf numFmtId="4" fontId="23" fillId="0" borderId="58" xfId="28" applyNumberFormat="1" applyFont="1" applyFill="1" applyBorder="1" applyAlignment="1">
      <alignment horizontal="center" vertical="center" wrapText="1"/>
      <protection/>
    </xf>
    <xf numFmtId="4" fontId="23" fillId="0" borderId="58" xfId="28" applyNumberFormat="1" applyFont="1" applyFill="1" applyBorder="1" applyAlignment="1">
      <alignment horizontal="left" vertical="center" wrapText="1"/>
      <protection/>
    </xf>
    <xf numFmtId="4" fontId="23" fillId="0" borderId="59" xfId="28" applyNumberFormat="1" applyFont="1" applyFill="1" applyBorder="1" applyAlignment="1">
      <alignment horizontal="left" vertical="center" wrapText="1"/>
      <protection/>
    </xf>
    <xf numFmtId="4" fontId="23" fillId="0" borderId="79" xfId="28" applyNumberFormat="1" applyFont="1" applyFill="1" applyBorder="1" applyAlignment="1">
      <alignment horizontal="left" vertical="center" wrapText="1"/>
      <protection/>
    </xf>
    <xf numFmtId="4" fontId="22" fillId="0" borderId="80" xfId="28" applyNumberFormat="1" applyFont="1" applyFill="1" applyBorder="1" applyAlignment="1">
      <alignment horizontal="right" vertical="center" wrapText="1"/>
      <protection/>
    </xf>
    <xf numFmtId="4" fontId="23" fillId="0" borderId="79" xfId="31" applyNumberFormat="1" applyFont="1" applyBorder="1" applyAlignment="1">
      <alignment horizontal="right" vertical="center" wrapText="1"/>
      <protection/>
    </xf>
    <xf numFmtId="4" fontId="23" fillId="0" borderId="81" xfId="31" applyNumberFormat="1" applyFont="1" applyBorder="1" applyAlignment="1">
      <alignment horizontal="right" vertical="center" wrapText="1"/>
      <protection/>
    </xf>
    <xf numFmtId="4" fontId="23" fillId="0" borderId="2" xfId="31" applyNumberFormat="1" applyFont="1" applyBorder="1" applyAlignment="1">
      <alignment horizontal="center" vertical="center" wrapText="1"/>
      <protection/>
    </xf>
    <xf numFmtId="4" fontId="23" fillId="0" borderId="2" xfId="31" applyNumberFormat="1" applyFont="1" applyBorder="1" applyAlignment="1" quotePrefix="1">
      <alignment horizontal="left" vertical="center" wrapText="1"/>
      <protection/>
    </xf>
    <xf numFmtId="4" fontId="23" fillId="0" borderId="39" xfId="31" applyNumberFormat="1" applyFont="1" applyBorder="1" applyAlignment="1" quotePrefix="1">
      <alignment horizontal="left" vertical="center" wrapText="1"/>
      <protection/>
    </xf>
    <xf numFmtId="4" fontId="23" fillId="0" borderId="41" xfId="31" applyNumberFormat="1" applyFont="1" applyBorder="1" applyAlignment="1" quotePrefix="1">
      <alignment horizontal="left" vertical="center" wrapText="1"/>
      <protection/>
    </xf>
    <xf numFmtId="4" fontId="22" fillId="0" borderId="40" xfId="28" applyNumberFormat="1" applyFont="1" applyFill="1" applyBorder="1" applyAlignment="1">
      <alignment horizontal="right" vertical="center" wrapText="1"/>
      <protection/>
    </xf>
    <xf numFmtId="4" fontId="23" fillId="0" borderId="114" xfId="31" applyNumberFormat="1" applyFont="1" applyBorder="1" applyAlignment="1">
      <alignment horizontal="center" vertical="center" wrapText="1"/>
      <protection/>
    </xf>
    <xf numFmtId="4" fontId="23" fillId="0" borderId="114" xfId="31" applyNumberFormat="1" applyFont="1" applyBorder="1" applyAlignment="1" quotePrefix="1">
      <alignment horizontal="left" vertical="center" wrapText="1"/>
      <protection/>
    </xf>
    <xf numFmtId="4" fontId="23" fillId="0" borderId="134" xfId="31" applyNumberFormat="1" applyFont="1" applyBorder="1" applyAlignment="1" quotePrefix="1">
      <alignment horizontal="left" vertical="center" wrapText="1"/>
      <protection/>
    </xf>
    <xf numFmtId="4" fontId="23" fillId="0" borderId="135" xfId="31" applyNumberFormat="1" applyFont="1" applyBorder="1" applyAlignment="1" quotePrefix="1">
      <alignment horizontal="left" vertical="center" wrapText="1"/>
      <protection/>
    </xf>
    <xf numFmtId="4" fontId="22" fillId="0" borderId="136" xfId="28" applyNumberFormat="1" applyFont="1" applyFill="1" applyBorder="1" applyAlignment="1">
      <alignment horizontal="right" vertical="center" wrapText="1"/>
      <protection/>
    </xf>
    <xf numFmtId="4" fontId="23" fillId="0" borderId="135" xfId="31" applyNumberFormat="1" applyFont="1" applyBorder="1" applyAlignment="1">
      <alignment horizontal="right" vertical="center" wrapText="1"/>
      <protection/>
    </xf>
    <xf numFmtId="4" fontId="23" fillId="0" borderId="137" xfId="31" applyNumberFormat="1" applyFont="1" applyBorder="1" applyAlignment="1">
      <alignment horizontal="right" vertical="center" wrapText="1"/>
      <protection/>
    </xf>
    <xf numFmtId="4" fontId="23" fillId="0" borderId="0" xfId="31" applyNumberFormat="1" applyFont="1" applyBorder="1" applyAlignment="1">
      <alignment horizontal="center" vertical="center" wrapText="1"/>
      <protection/>
    </xf>
    <xf numFmtId="4" fontId="23" fillId="0" borderId="4" xfId="31" applyNumberFormat="1" applyFont="1" applyBorder="1" applyAlignment="1" quotePrefix="1">
      <alignment horizontal="left" vertical="center" wrapText="1"/>
      <protection/>
    </xf>
    <xf numFmtId="0" fontId="23" fillId="0" borderId="65" xfId="31" applyFont="1" applyBorder="1" applyAlignment="1">
      <alignment horizontal="center" vertical="center" wrapText="1"/>
      <protection/>
    </xf>
    <xf numFmtId="0" fontId="23" fillId="0" borderId="65" xfId="31" applyFont="1" applyBorder="1" applyAlignment="1">
      <alignment horizontal="left" vertical="center" wrapText="1"/>
      <protection/>
    </xf>
    <xf numFmtId="4" fontId="23" fillId="0" borderId="66" xfId="31" applyNumberFormat="1" applyFont="1" applyBorder="1" applyAlignment="1">
      <alignment horizontal="left" vertical="center" wrapText="1"/>
      <protection/>
    </xf>
    <xf numFmtId="4" fontId="23" fillId="0" borderId="65" xfId="31" applyNumberFormat="1" applyFont="1" applyBorder="1" applyAlignment="1">
      <alignment horizontal="left" vertical="center" wrapText="1"/>
      <protection/>
    </xf>
    <xf numFmtId="4" fontId="23" fillId="0" borderId="138" xfId="31" applyNumberFormat="1" applyFont="1" applyBorder="1" applyAlignment="1">
      <alignment horizontal="left" vertical="center" wrapText="1"/>
      <protection/>
    </xf>
    <xf numFmtId="4" fontId="23" fillId="0" borderId="139" xfId="31" applyNumberFormat="1" applyFont="1" applyBorder="1" applyAlignment="1">
      <alignment horizontal="right" vertical="center" wrapText="1"/>
      <protection/>
    </xf>
    <xf numFmtId="4" fontId="23" fillId="0" borderId="138" xfId="31" applyNumberFormat="1" applyFont="1" applyBorder="1" applyAlignment="1">
      <alignment horizontal="right" vertical="center" wrapText="1"/>
      <protection/>
    </xf>
    <xf numFmtId="4" fontId="23" fillId="0" borderId="48" xfId="31" applyNumberFormat="1" applyFont="1" applyBorder="1" applyAlignment="1">
      <alignment horizontal="left" vertical="center" wrapText="1"/>
      <protection/>
    </xf>
    <xf numFmtId="4" fontId="26" fillId="0" borderId="22" xfId="25" applyNumberFormat="1" applyFont="1" applyBorder="1" applyAlignment="1" applyProtection="1">
      <alignment horizontal="center" vertical="center"/>
      <protection/>
    </xf>
    <xf numFmtId="4" fontId="26" fillId="0" borderId="0" xfId="28" applyNumberFormat="1" applyFont="1" applyFill="1" applyBorder="1" applyAlignment="1" quotePrefix="1">
      <alignment horizontal="center" vertical="center" wrapText="1"/>
      <protection/>
    </xf>
    <xf numFmtId="4" fontId="26" fillId="0" borderId="0" xfId="31" applyNumberFormat="1" applyFont="1" applyBorder="1" applyAlignment="1">
      <alignment horizontal="left" vertical="center" wrapText="1"/>
      <protection/>
    </xf>
    <xf numFmtId="0" fontId="22" fillId="2" borderId="85" xfId="15" applyFont="1" applyBorder="1" applyAlignment="1">
      <alignment horizontal="center" vertical="center" wrapText="1"/>
      <protection/>
    </xf>
    <xf numFmtId="1" fontId="22" fillId="2" borderId="13" xfId="15" applyNumberFormat="1" applyFont="1" applyBorder="1" applyAlignment="1">
      <alignment horizontal="center" vertical="center" wrapText="1"/>
      <protection/>
    </xf>
    <xf numFmtId="0" fontId="22" fillId="2" borderId="1" xfId="15" applyFont="1" applyBorder="1" applyAlignment="1">
      <alignment horizontal="center" vertical="center" wrapText="1"/>
      <protection/>
    </xf>
    <xf numFmtId="0" fontId="22" fillId="2" borderId="1" xfId="15" applyFont="1" applyBorder="1" applyAlignment="1">
      <alignment horizontal="left" vertical="center" wrapText="1"/>
      <protection/>
    </xf>
    <xf numFmtId="4" fontId="22" fillId="2" borderId="3" xfId="15" applyNumberFormat="1" applyFont="1" applyBorder="1" applyAlignment="1">
      <alignment horizontal="right" vertical="center" wrapText="1"/>
      <protection/>
    </xf>
    <xf numFmtId="0" fontId="23" fillId="0" borderId="0" xfId="20" applyFont="1" applyBorder="1" applyAlignment="1" applyProtection="1">
      <alignment vertical="center"/>
      <protection/>
    </xf>
    <xf numFmtId="4" fontId="23" fillId="0" borderId="11" xfId="20" applyNumberFormat="1" applyFont="1" applyBorder="1" applyAlignment="1" applyProtection="1">
      <alignment horizontal="center" vertical="center" wrapText="1"/>
      <protection/>
    </xf>
    <xf numFmtId="4" fontId="23" fillId="0" borderId="8" xfId="20" applyNumberFormat="1" applyFont="1" applyBorder="1" applyAlignment="1" applyProtection="1">
      <alignment horizontal="center" vertical="center" wrapText="1"/>
      <protection/>
    </xf>
    <xf numFmtId="4" fontId="23" fillId="0" borderId="140" xfId="20" applyNumberFormat="1" applyFont="1" applyBorder="1" applyAlignment="1" applyProtection="1">
      <alignment horizontal="center" vertical="center" wrapText="1"/>
      <protection/>
    </xf>
    <xf numFmtId="4" fontId="23" fillId="0" borderId="11" xfId="20" applyNumberFormat="1" applyFont="1" applyBorder="1" applyAlignment="1" applyProtection="1">
      <alignment horizontal="right" vertical="center" wrapText="1"/>
      <protection/>
    </xf>
    <xf numFmtId="4" fontId="23" fillId="0" borderId="11" xfId="20" applyNumberFormat="1" applyFont="1" applyBorder="1" applyAlignment="1" applyProtection="1">
      <alignment horizontal="right" vertical="center"/>
      <protection/>
    </xf>
    <xf numFmtId="1" fontId="23" fillId="0" borderId="14" xfId="20" applyNumberFormat="1" applyFont="1" applyBorder="1" applyAlignment="1" applyProtection="1">
      <alignment horizontal="center" vertical="center"/>
      <protection/>
    </xf>
    <xf numFmtId="0" fontId="23" fillId="0" borderId="58" xfId="20" applyFont="1" applyBorder="1" applyAlignment="1" applyProtection="1">
      <alignment horizontal="center" vertical="center"/>
      <protection/>
    </xf>
    <xf numFmtId="0" fontId="23" fillId="0" borderId="58" xfId="20" applyFont="1" applyBorder="1" applyAlignment="1" applyProtection="1">
      <alignment horizontal="left" vertical="center" wrapText="1"/>
      <protection/>
    </xf>
    <xf numFmtId="4" fontId="23" fillId="0" borderId="59" xfId="20" applyNumberFormat="1" applyFont="1" applyBorder="1" applyAlignment="1" applyProtection="1">
      <alignment horizontal="center" vertical="center" wrapText="1"/>
      <protection/>
    </xf>
    <xf numFmtId="4" fontId="23" fillId="0" borderId="58" xfId="20" applyNumberFormat="1" applyFont="1" applyBorder="1" applyAlignment="1" applyProtection="1">
      <alignment horizontal="center" vertical="center" wrapText="1"/>
      <protection/>
    </xf>
    <xf numFmtId="4" fontId="23" fillId="0" borderId="141" xfId="20" applyNumberFormat="1" applyFont="1" applyBorder="1" applyAlignment="1" applyProtection="1">
      <alignment horizontal="center" vertical="center" wrapText="1"/>
      <protection/>
    </xf>
    <xf numFmtId="4" fontId="23" fillId="0" borderId="59" xfId="20" applyNumberFormat="1" applyFont="1" applyBorder="1" applyAlignment="1" applyProtection="1">
      <alignment horizontal="right" vertical="center" wrapText="1"/>
      <protection/>
    </xf>
    <xf numFmtId="4" fontId="23" fillId="0" borderId="59" xfId="20" applyNumberFormat="1" applyFont="1" applyBorder="1" applyAlignment="1" applyProtection="1">
      <alignment horizontal="right" vertical="center"/>
      <protection/>
    </xf>
    <xf numFmtId="0" fontId="23" fillId="0" borderId="35" xfId="20" applyFont="1" applyBorder="1" applyAlignment="1" applyProtection="1">
      <alignment horizontal="left" vertical="center"/>
      <protection/>
    </xf>
    <xf numFmtId="1" fontId="23" fillId="0" borderId="10" xfId="20" applyNumberFormat="1" applyFont="1" applyBorder="1" applyAlignment="1" applyProtection="1">
      <alignment horizontal="left" vertical="center"/>
      <protection/>
    </xf>
    <xf numFmtId="0" fontId="23" fillId="0" borderId="0" xfId="20" applyFont="1" applyBorder="1" applyAlignment="1" applyProtection="1">
      <alignment horizontal="left" vertical="center"/>
      <protection/>
    </xf>
    <xf numFmtId="4" fontId="23" fillId="0" borderId="8" xfId="20" applyNumberFormat="1" applyFont="1" applyBorder="1" applyAlignment="1" applyProtection="1">
      <alignment horizontal="left" vertical="center" wrapText="1"/>
      <protection/>
    </xf>
    <xf numFmtId="4" fontId="23" fillId="0" borderId="140" xfId="20" applyNumberFormat="1" applyFont="1" applyBorder="1" applyAlignment="1" applyProtection="1">
      <alignment horizontal="left" vertical="center" wrapText="1"/>
      <protection/>
    </xf>
    <xf numFmtId="4" fontId="23" fillId="0" borderId="38" xfId="20" applyNumberFormat="1" applyFont="1" applyBorder="1" applyAlignment="1" applyProtection="1">
      <alignment horizontal="left" vertical="center" wrapText="1"/>
      <protection/>
    </xf>
    <xf numFmtId="4" fontId="23" fillId="0" borderId="142" xfId="20" applyNumberFormat="1" applyFont="1" applyBorder="1" applyAlignment="1" applyProtection="1">
      <alignment horizontal="left" vertical="center" wrapText="1"/>
      <protection/>
    </xf>
    <xf numFmtId="4" fontId="23" fillId="0" borderId="43" xfId="20" applyNumberFormat="1" applyFont="1" applyBorder="1" applyAlignment="1" applyProtection="1">
      <alignment horizontal="right" vertical="center" wrapText="1"/>
      <protection/>
    </xf>
    <xf numFmtId="4" fontId="23" fillId="0" borderId="43" xfId="20" applyNumberFormat="1" applyFont="1" applyBorder="1" applyAlignment="1" applyProtection="1">
      <alignment horizontal="right" vertical="center"/>
      <protection/>
    </xf>
    <xf numFmtId="0" fontId="23" fillId="0" borderId="38" xfId="20" applyFont="1" applyBorder="1" applyAlignment="1" applyProtection="1">
      <alignment vertical="center" wrapText="1"/>
      <protection/>
    </xf>
    <xf numFmtId="4" fontId="23" fillId="0" borderId="4" xfId="20" applyNumberFormat="1" applyFont="1" applyBorder="1" applyAlignment="1" applyProtection="1">
      <alignment horizontal="left" vertical="center" wrapText="1"/>
      <protection/>
    </xf>
    <xf numFmtId="4" fontId="23" fillId="0" borderId="0" xfId="20" applyNumberFormat="1" applyFont="1" applyBorder="1" applyAlignment="1" applyProtection="1">
      <alignment horizontal="left" vertical="center" wrapText="1"/>
      <protection/>
    </xf>
    <xf numFmtId="4" fontId="23" fillId="0" borderId="10" xfId="20" applyNumberFormat="1" applyFont="1" applyBorder="1" applyAlignment="1" applyProtection="1">
      <alignment horizontal="left" vertical="center" wrapText="1"/>
      <protection/>
    </xf>
    <xf numFmtId="4" fontId="23" fillId="0" borderId="4" xfId="20" applyNumberFormat="1" applyFont="1" applyBorder="1" applyAlignment="1" applyProtection="1">
      <alignment horizontal="right" vertical="center" wrapText="1"/>
      <protection/>
    </xf>
    <xf numFmtId="4" fontId="23" fillId="0" borderId="4" xfId="20" applyNumberFormat="1" applyFont="1" applyBorder="1" applyAlignment="1" applyProtection="1">
      <alignment horizontal="right" vertical="center"/>
      <protection/>
    </xf>
    <xf numFmtId="4" fontId="23" fillId="0" borderId="26" xfId="20" applyNumberFormat="1" applyFont="1" applyBorder="1" applyAlignment="1" applyProtection="1">
      <alignment horizontal="left" vertical="center" wrapText="1"/>
      <protection/>
    </xf>
    <xf numFmtId="4" fontId="23" fillId="0" borderId="143" xfId="20" applyNumberFormat="1" applyFont="1" applyBorder="1" applyAlignment="1" applyProtection="1">
      <alignment horizontal="left" vertical="center" wrapText="1"/>
      <protection/>
    </xf>
    <xf numFmtId="4" fontId="23" fillId="0" borderId="48" xfId="20" applyNumberFormat="1" applyFont="1" applyBorder="1" applyAlignment="1" applyProtection="1">
      <alignment horizontal="right" vertical="center" wrapText="1"/>
      <protection/>
    </xf>
    <xf numFmtId="4" fontId="23" fillId="0" borderId="48" xfId="20" applyNumberFormat="1" applyFont="1" applyBorder="1" applyAlignment="1" applyProtection="1">
      <alignment horizontal="right" vertical="center"/>
      <protection/>
    </xf>
    <xf numFmtId="0" fontId="23" fillId="0" borderId="25" xfId="20" applyFont="1" applyBorder="1" applyAlignment="1" applyProtection="1">
      <alignment horizontal="left" vertical="center"/>
      <protection/>
    </xf>
    <xf numFmtId="1" fontId="23" fillId="0" borderId="14" xfId="20" applyNumberFormat="1" applyFont="1" applyBorder="1" applyAlignment="1" applyProtection="1">
      <alignment horizontal="left" vertical="center"/>
      <protection/>
    </xf>
    <xf numFmtId="0" fontId="23" fillId="0" borderId="58" xfId="20" applyFont="1" applyBorder="1" applyAlignment="1" applyProtection="1">
      <alignment horizontal="left" vertical="center"/>
      <protection/>
    </xf>
    <xf numFmtId="4" fontId="23" fillId="0" borderId="59" xfId="20" applyNumberFormat="1" applyFont="1" applyBorder="1" applyAlignment="1" applyProtection="1">
      <alignment horizontal="left" vertical="center" wrapText="1"/>
      <protection/>
    </xf>
    <xf numFmtId="4" fontId="23" fillId="0" borderId="58" xfId="20" applyNumberFormat="1" applyFont="1" applyBorder="1" applyAlignment="1" applyProtection="1">
      <alignment horizontal="left" vertical="center" wrapText="1"/>
      <protection/>
    </xf>
    <xf numFmtId="4" fontId="23" fillId="0" borderId="141" xfId="20" applyNumberFormat="1" applyFont="1" applyBorder="1" applyAlignment="1" applyProtection="1">
      <alignment horizontal="left" vertical="center" wrapText="1"/>
      <protection/>
    </xf>
    <xf numFmtId="0" fontId="22" fillId="2" borderId="82" xfId="15" applyFont="1" applyBorder="1" applyAlignment="1">
      <alignment horizontal="center" vertical="center" wrapText="1"/>
      <protection/>
    </xf>
    <xf numFmtId="4" fontId="23" fillId="5" borderId="5" xfId="28" applyNumberFormat="1" applyFont="1" applyFill="1" applyBorder="1" applyAlignment="1">
      <alignment horizontal="center" vertical="center" wrapText="1"/>
      <protection/>
    </xf>
    <xf numFmtId="1" fontId="22" fillId="0" borderId="144" xfId="25" applyNumberFormat="1" applyFont="1" applyBorder="1" applyAlignment="1" applyProtection="1">
      <alignment horizontal="center" vertical="center" wrapText="1"/>
      <protection/>
    </xf>
    <xf numFmtId="4" fontId="23" fillId="0" borderId="8" xfId="31" applyNumberFormat="1" applyFont="1" applyBorder="1" applyAlignment="1">
      <alignment horizontal="center" vertical="center" wrapText="1"/>
      <protection/>
    </xf>
    <xf numFmtId="4" fontId="23" fillId="0" borderId="8" xfId="31" applyNumberFormat="1" applyFont="1" applyBorder="1" applyAlignment="1" quotePrefix="1">
      <alignment horizontal="left" vertical="center" wrapText="1"/>
      <protection/>
    </xf>
    <xf numFmtId="4" fontId="23" fillId="0" borderId="3" xfId="31" applyNumberFormat="1" applyFont="1" applyBorder="1" applyAlignment="1" quotePrefix="1">
      <alignment horizontal="right" vertical="center" wrapText="1"/>
      <protection/>
    </xf>
    <xf numFmtId="4" fontId="23" fillId="0" borderId="8" xfId="31" applyNumberFormat="1" applyFont="1" applyBorder="1" applyAlignment="1" quotePrefix="1">
      <alignment horizontal="right" vertical="center" wrapText="1"/>
      <protection/>
    </xf>
    <xf numFmtId="4" fontId="23" fillId="0" borderId="144" xfId="31" applyNumberFormat="1" applyFont="1" applyBorder="1" applyAlignment="1" quotePrefix="1">
      <alignment horizontal="right" vertical="center" wrapText="1"/>
      <protection/>
    </xf>
    <xf numFmtId="4" fontId="23" fillId="0" borderId="124" xfId="31" applyNumberFormat="1" applyFont="1" applyBorder="1" applyAlignment="1">
      <alignment horizontal="right" vertical="center" wrapText="1"/>
      <protection/>
    </xf>
    <xf numFmtId="4" fontId="23" fillId="0" borderId="144" xfId="31" applyNumberFormat="1" applyFont="1" applyBorder="1" applyAlignment="1">
      <alignment horizontal="right" vertical="center" wrapText="1"/>
      <protection/>
    </xf>
    <xf numFmtId="4" fontId="23" fillId="0" borderId="62" xfId="31" applyNumberFormat="1" applyFont="1" applyBorder="1" applyAlignment="1">
      <alignment horizontal="right" vertical="center" wrapText="1"/>
      <protection/>
    </xf>
    <xf numFmtId="1" fontId="22" fillId="5" borderId="76" xfId="28" applyNumberFormat="1" applyFont="1" applyFill="1" applyBorder="1" applyAlignment="1" quotePrefix="1">
      <alignment horizontal="center" vertical="center" wrapText="1"/>
      <protection/>
    </xf>
    <xf numFmtId="4" fontId="23" fillId="0" borderId="8" xfId="31" applyNumberFormat="1" applyFont="1" applyBorder="1" applyAlignment="1">
      <alignment horizontal="left" vertical="center" wrapText="1"/>
      <protection/>
    </xf>
    <xf numFmtId="4" fontId="23" fillId="0" borderId="3" xfId="31" applyNumberFormat="1" applyFont="1" applyBorder="1" applyAlignment="1">
      <alignment horizontal="right" vertical="center" wrapText="1"/>
      <protection/>
    </xf>
    <xf numFmtId="4" fontId="23" fillId="0" borderId="8" xfId="31" applyNumberFormat="1" applyFont="1" applyBorder="1" applyAlignment="1">
      <alignment horizontal="right" vertical="center" wrapText="1"/>
      <protection/>
    </xf>
    <xf numFmtId="4" fontId="23" fillId="0" borderId="85" xfId="31" applyNumberFormat="1" applyFont="1" applyBorder="1" applyAlignment="1">
      <alignment horizontal="right" vertical="center" wrapText="1"/>
      <protection/>
    </xf>
    <xf numFmtId="4" fontId="23" fillId="0" borderId="2" xfId="31" applyNumberFormat="1" applyFont="1" applyBorder="1" applyAlignment="1">
      <alignment horizontal="left" vertical="center" wrapText="1"/>
      <protection/>
    </xf>
    <xf numFmtId="4" fontId="23" fillId="0" borderId="2" xfId="31" applyNumberFormat="1" applyFont="1" applyBorder="1" applyAlignment="1">
      <alignment horizontal="right" vertical="center" wrapText="1"/>
      <protection/>
    </xf>
    <xf numFmtId="4" fontId="23" fillId="0" borderId="58" xfId="31" applyNumberFormat="1" applyFont="1" applyBorder="1" applyAlignment="1">
      <alignment horizontal="center" vertical="center" wrapText="1"/>
      <protection/>
    </xf>
    <xf numFmtId="4" fontId="23" fillId="0" borderId="58" xfId="31" applyNumberFormat="1" applyFont="1" applyBorder="1" applyAlignment="1">
      <alignment horizontal="left" vertical="center" wrapText="1"/>
      <protection/>
    </xf>
    <xf numFmtId="4" fontId="23" fillId="0" borderId="59" xfId="31" applyNumberFormat="1" applyFont="1" applyBorder="1" applyAlignment="1">
      <alignment horizontal="right" vertical="center" wrapText="1"/>
      <protection/>
    </xf>
    <xf numFmtId="4" fontId="23" fillId="0" borderId="58" xfId="31" applyNumberFormat="1" applyFont="1" applyBorder="1" applyAlignment="1">
      <alignment horizontal="right" vertical="center" wrapText="1"/>
      <protection/>
    </xf>
    <xf numFmtId="4" fontId="23" fillId="0" borderId="80" xfId="31" applyNumberFormat="1" applyFont="1" applyBorder="1" applyAlignment="1">
      <alignment horizontal="right" vertical="center" wrapText="1"/>
      <protection/>
    </xf>
    <xf numFmtId="4" fontId="23" fillId="0" borderId="145" xfId="31" applyNumberFormat="1" applyFont="1" applyBorder="1" applyAlignment="1">
      <alignment horizontal="right" vertical="center" wrapText="1"/>
      <protection/>
    </xf>
    <xf numFmtId="0" fontId="22" fillId="6" borderId="35" xfId="28" applyFont="1" applyFill="1" applyBorder="1" applyAlignment="1">
      <alignment horizontal="left" vertical="center" wrapText="1"/>
      <protection/>
    </xf>
    <xf numFmtId="4" fontId="22" fillId="3" borderId="3" xfId="28" applyNumberFormat="1" applyFont="1" applyFill="1" applyBorder="1" applyAlignment="1">
      <alignment horizontal="right" vertical="center" wrapText="1"/>
      <protection/>
    </xf>
    <xf numFmtId="0" fontId="22" fillId="0" borderId="22" xfId="28" applyFont="1" applyFill="1" applyBorder="1" applyAlignment="1">
      <alignment horizontal="left" vertical="center" wrapText="1"/>
      <protection/>
    </xf>
    <xf numFmtId="1" fontId="22" fillId="0" borderId="10" xfId="28" applyNumberFormat="1" applyFont="1" applyFill="1" applyBorder="1" applyAlignment="1">
      <alignment horizontal="center" vertical="center" wrapText="1"/>
      <protection/>
    </xf>
    <xf numFmtId="0" fontId="22" fillId="0" borderId="0" xfId="28" applyFont="1" applyFill="1" applyBorder="1" applyAlignment="1">
      <alignment horizontal="left" vertical="center" wrapText="1"/>
      <protection/>
    </xf>
    <xf numFmtId="0" fontId="23" fillId="0" borderId="77" xfId="31" applyFont="1" applyBorder="1" applyAlignment="1">
      <alignment horizontal="left" vertical="center" wrapText="1"/>
      <protection/>
    </xf>
    <xf numFmtId="4" fontId="22" fillId="0" borderId="130" xfId="28" applyNumberFormat="1" applyFont="1" applyFill="1" applyBorder="1" applyAlignment="1">
      <alignment horizontal="left" vertical="center" wrapText="1"/>
      <protection/>
    </xf>
    <xf numFmtId="4" fontId="22" fillId="0" borderId="131" xfId="28" applyNumberFormat="1" applyFont="1" applyFill="1" applyBorder="1" applyAlignment="1">
      <alignment horizontal="left" vertical="center" wrapText="1"/>
      <protection/>
    </xf>
    <xf numFmtId="4" fontId="23" fillId="0" borderId="130" xfId="28" applyNumberFormat="1" applyFont="1" applyFill="1" applyBorder="1" applyAlignment="1">
      <alignment horizontal="right" vertical="center" wrapText="1"/>
      <protection/>
    </xf>
    <xf numFmtId="4" fontId="22" fillId="5" borderId="76" xfId="28" applyNumberFormat="1" applyFont="1" applyFill="1" applyBorder="1" applyAlignment="1">
      <alignment horizontal="right" vertical="center" wrapText="1"/>
      <protection/>
    </xf>
    <xf numFmtId="4" fontId="22" fillId="5" borderId="146" xfId="28" applyNumberFormat="1" applyFont="1" applyFill="1" applyBorder="1" applyAlignment="1">
      <alignment horizontal="right" vertical="center" wrapText="1"/>
      <protection/>
    </xf>
    <xf numFmtId="4" fontId="23" fillId="0" borderId="147" xfId="31" applyNumberFormat="1" applyFont="1" applyBorder="1" applyAlignment="1">
      <alignment horizontal="right" vertical="center" wrapText="1"/>
      <protection/>
    </xf>
    <xf numFmtId="4" fontId="23" fillId="0" borderId="77" xfId="31" applyNumberFormat="1" applyFont="1" applyBorder="1" applyAlignment="1">
      <alignment horizontal="center" vertical="center" wrapText="1"/>
      <protection/>
    </xf>
    <xf numFmtId="4" fontId="23" fillId="0" borderId="77" xfId="31" applyNumberFormat="1" applyFont="1" applyBorder="1" applyAlignment="1" quotePrefix="1">
      <alignment horizontal="left" vertical="center" wrapText="1"/>
      <protection/>
    </xf>
    <xf numFmtId="4" fontId="23" fillId="0" borderId="29" xfId="31" applyNumberFormat="1" applyFont="1" applyBorder="1" applyAlignment="1" quotePrefix="1">
      <alignment horizontal="right" vertical="center" wrapText="1"/>
      <protection/>
    </xf>
    <xf numFmtId="4" fontId="23" fillId="0" borderId="77" xfId="31" applyNumberFormat="1" applyFont="1" applyBorder="1" applyAlignment="1" quotePrefix="1">
      <alignment horizontal="right" vertical="center" wrapText="1"/>
      <protection/>
    </xf>
    <xf numFmtId="4" fontId="26" fillId="0" borderId="0" xfId="31" applyNumberFormat="1" applyFont="1" applyBorder="1" applyAlignment="1">
      <alignment horizontal="right" vertical="center" wrapText="1"/>
      <protection/>
    </xf>
    <xf numFmtId="4" fontId="28" fillId="0" borderId="22" xfId="25" applyNumberFormat="1" applyFont="1" applyBorder="1" applyAlignment="1" applyProtection="1">
      <alignment horizontal="center" vertical="center"/>
      <protection/>
    </xf>
    <xf numFmtId="4" fontId="26" fillId="0" borderId="0" xfId="31" applyNumberFormat="1" applyFont="1" applyBorder="1" applyAlignment="1">
      <alignment horizontal="center" vertical="center" wrapText="1"/>
      <protection/>
    </xf>
    <xf numFmtId="4" fontId="32" fillId="0" borderId="0" xfId="31" applyNumberFormat="1" applyFont="1" applyBorder="1" applyAlignment="1">
      <alignment horizontal="left" vertical="center" wrapText="1"/>
      <protection/>
    </xf>
    <xf numFmtId="4" fontId="32" fillId="0" borderId="7" xfId="31" applyNumberFormat="1" applyFont="1" applyBorder="1" applyAlignment="1">
      <alignment horizontal="right" vertical="center" wrapText="1"/>
      <protection/>
    </xf>
    <xf numFmtId="4" fontId="32" fillId="0" borderId="0" xfId="31" applyNumberFormat="1" applyFont="1" applyBorder="1" applyAlignment="1">
      <alignment horizontal="right" vertical="center" wrapText="1"/>
      <protection/>
    </xf>
    <xf numFmtId="4" fontId="28" fillId="0" borderId="9" xfId="31" applyNumberFormat="1" applyFont="1" applyBorder="1" applyAlignment="1">
      <alignment horizontal="right" vertical="center" wrapText="1"/>
      <protection/>
    </xf>
    <xf numFmtId="4" fontId="23" fillId="2" borderId="19" xfId="15" applyNumberFormat="1" applyFont="1" applyBorder="1" applyAlignment="1">
      <alignment horizontal="center" vertical="center" wrapText="1"/>
      <protection/>
    </xf>
    <xf numFmtId="4" fontId="22" fillId="2" borderId="19" xfId="15" applyNumberFormat="1" applyFont="1" applyBorder="1" applyAlignment="1">
      <alignment horizontal="center" vertical="center" wrapText="1"/>
      <protection/>
    </xf>
    <xf numFmtId="4" fontId="22" fillId="0" borderId="22" xfId="25" applyNumberFormat="1" applyFont="1" applyFill="1" applyBorder="1" applyAlignment="1" applyProtection="1">
      <alignment horizontal="center" vertical="center"/>
      <protection/>
    </xf>
    <xf numFmtId="4" fontId="22" fillId="0" borderId="144" xfId="28" applyNumberFormat="1" applyFont="1" applyFill="1" applyBorder="1" applyAlignment="1">
      <alignment horizontal="left" vertical="center" wrapText="1"/>
      <protection/>
    </xf>
    <xf numFmtId="4" fontId="22" fillId="0" borderId="144" xfId="28" applyNumberFormat="1" applyFont="1" applyFill="1" applyBorder="1" applyAlignment="1">
      <alignment horizontal="right" vertical="center" wrapText="1"/>
      <protection/>
    </xf>
    <xf numFmtId="4" fontId="22" fillId="0" borderId="62" xfId="28" applyNumberFormat="1" applyFont="1" applyFill="1" applyBorder="1" applyAlignment="1">
      <alignment horizontal="right" vertical="center" wrapText="1"/>
      <protection/>
    </xf>
    <xf numFmtId="4" fontId="23" fillId="0" borderId="26" xfId="28" applyNumberFormat="1" applyFont="1" applyFill="1" applyBorder="1" applyAlignment="1">
      <alignment horizontal="center" vertical="center" wrapText="1"/>
      <protection/>
    </xf>
    <xf numFmtId="4" fontId="23" fillId="0" borderId="26" xfId="28" applyNumberFormat="1" applyFont="1" applyFill="1" applyBorder="1" applyAlignment="1">
      <alignment horizontal="left" vertical="center" wrapText="1"/>
      <protection/>
    </xf>
    <xf numFmtId="4" fontId="23" fillId="0" borderId="50" xfId="28" applyNumberFormat="1" applyFont="1" applyFill="1" applyBorder="1" applyAlignment="1">
      <alignment horizontal="left" vertical="center" wrapText="1"/>
      <protection/>
    </xf>
    <xf numFmtId="4" fontId="22" fillId="0" borderId="49" xfId="28" applyNumberFormat="1" applyFont="1" applyFill="1" applyBorder="1" applyAlignment="1">
      <alignment horizontal="right" vertical="center" wrapText="1"/>
      <protection/>
    </xf>
    <xf numFmtId="4" fontId="23" fillId="0" borderId="50" xfId="28" applyNumberFormat="1" applyFont="1" applyFill="1" applyBorder="1" applyAlignment="1">
      <alignment horizontal="right" vertical="center" wrapText="1"/>
      <protection/>
    </xf>
    <xf numFmtId="4" fontId="23" fillId="0" borderId="51" xfId="28" applyNumberFormat="1" applyFont="1" applyFill="1" applyBorder="1" applyAlignment="1">
      <alignment horizontal="right" vertical="center" wrapText="1"/>
      <protection/>
    </xf>
    <xf numFmtId="4" fontId="23" fillId="0" borderId="102" xfId="28" applyNumberFormat="1" applyFont="1" applyFill="1" applyBorder="1" applyAlignment="1">
      <alignment horizontal="left" vertical="center" wrapText="1"/>
      <protection/>
    </xf>
    <xf numFmtId="0" fontId="23" fillId="7" borderId="95" xfId="0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2" fillId="7" borderId="35" xfId="0" applyFont="1" applyFill="1" applyBorder="1" applyAlignment="1" applyProtection="1">
      <alignment horizontal="center" vertical="center"/>
      <protection/>
    </xf>
    <xf numFmtId="1" fontId="22" fillId="4" borderId="13" xfId="0" applyNumberFormat="1" applyFont="1" applyFill="1" applyBorder="1" applyAlignment="1" applyProtection="1">
      <alignment horizontal="center" vertical="center" wrapText="1"/>
      <protection/>
    </xf>
    <xf numFmtId="0" fontId="22" fillId="4" borderId="1" xfId="0" applyNumberFormat="1" applyFont="1" applyFill="1" applyBorder="1" applyAlignment="1" applyProtection="1">
      <alignment horizontal="center" vertical="center"/>
      <protection/>
    </xf>
    <xf numFmtId="0" fontId="22" fillId="4" borderId="1" xfId="0" applyNumberFormat="1" applyFont="1" applyFill="1" applyBorder="1" applyAlignment="1" applyProtection="1">
      <alignment horizontal="left" vertical="center" wrapText="1"/>
      <protection/>
    </xf>
    <xf numFmtId="4" fontId="22" fillId="4" borderId="3" xfId="31" applyNumberFormat="1" applyFont="1" applyFill="1" applyBorder="1" applyAlignment="1">
      <alignment horizontal="right" vertical="center"/>
      <protection/>
    </xf>
    <xf numFmtId="4" fontId="22" fillId="4" borderId="64" xfId="31" applyNumberFormat="1" applyFont="1" applyFill="1" applyBorder="1" applyAlignment="1">
      <alignment horizontal="right" vertical="center"/>
      <protection/>
    </xf>
    <xf numFmtId="4" fontId="22" fillId="4" borderId="3" xfId="31" applyNumberFormat="1" applyFont="1" applyFill="1" applyBorder="1" applyAlignment="1">
      <alignment horizontal="right" vertical="center" wrapText="1"/>
      <protection/>
    </xf>
    <xf numFmtId="1" fontId="23" fillId="0" borderId="140" xfId="20" applyNumberFormat="1" applyFont="1" applyBorder="1" applyAlignment="1" applyProtection="1">
      <alignment horizontal="center" vertical="center"/>
      <protection/>
    </xf>
    <xf numFmtId="0" fontId="23" fillId="0" borderId="8" xfId="20" applyFont="1" applyBorder="1" applyAlignment="1" applyProtection="1">
      <alignment horizontal="left" vertical="center" wrapText="1"/>
      <protection/>
    </xf>
    <xf numFmtId="4" fontId="23" fillId="0" borderId="68" xfId="20" applyNumberFormat="1" applyFont="1" applyBorder="1" applyAlignment="1" applyProtection="1">
      <alignment horizontal="right" vertical="center" wrapText="1"/>
      <protection/>
    </xf>
    <xf numFmtId="4" fontId="23" fillId="0" borderId="56" xfId="20" applyNumberFormat="1" applyFont="1" applyBorder="1" applyAlignment="1" applyProtection="1">
      <alignment horizontal="right" vertical="center" wrapText="1"/>
      <protection/>
    </xf>
    <xf numFmtId="4" fontId="23" fillId="0" borderId="6" xfId="20" applyNumberFormat="1" applyFont="1" applyBorder="1" applyAlignment="1" applyProtection="1">
      <alignment horizontal="right" vertical="center" wrapText="1"/>
      <protection/>
    </xf>
    <xf numFmtId="0" fontId="22" fillId="7" borderId="35" xfId="20" applyFont="1" applyFill="1" applyBorder="1" applyAlignment="1" applyProtection="1">
      <alignment horizontal="center" vertical="center"/>
      <protection/>
    </xf>
    <xf numFmtId="1" fontId="22" fillId="4" borderId="13" xfId="20" applyNumberFormat="1" applyFont="1" applyFill="1" applyBorder="1" applyAlignment="1" applyProtection="1">
      <alignment horizontal="center" vertical="center"/>
      <protection/>
    </xf>
    <xf numFmtId="0" fontId="22" fillId="4" borderId="1" xfId="20" applyFont="1" applyFill="1" applyBorder="1" applyAlignment="1" applyProtection="1">
      <alignment horizontal="center" vertical="center"/>
      <protection/>
    </xf>
    <xf numFmtId="0" fontId="22" fillId="4" borderId="1" xfId="20" applyFont="1" applyFill="1" applyBorder="1" applyAlignment="1" applyProtection="1">
      <alignment horizontal="left" vertical="center" wrapText="1"/>
      <protection/>
    </xf>
    <xf numFmtId="4" fontId="22" fillId="4" borderId="3" xfId="20" applyNumberFormat="1" applyFont="1" applyFill="1" applyBorder="1" applyAlignment="1" applyProtection="1">
      <alignment horizontal="right" vertical="center" wrapText="1"/>
      <protection/>
    </xf>
    <xf numFmtId="4" fontId="22" fillId="4" borderId="64" xfId="20" applyNumberFormat="1" applyFont="1" applyFill="1" applyBorder="1" applyAlignment="1" applyProtection="1">
      <alignment horizontal="right" vertical="center" wrapText="1"/>
      <protection/>
    </xf>
    <xf numFmtId="0" fontId="23" fillId="0" borderId="5" xfId="20" applyFont="1" applyBorder="1" applyAlignment="1" applyProtection="1">
      <alignment horizontal="left" vertical="center" wrapText="1"/>
      <protection/>
    </xf>
    <xf numFmtId="4" fontId="23" fillId="0" borderId="12" xfId="20" applyNumberFormat="1" applyFont="1" applyBorder="1" applyAlignment="1" applyProtection="1">
      <alignment horizontal="right" vertical="center" wrapText="1"/>
      <protection/>
    </xf>
    <xf numFmtId="4" fontId="23" fillId="0" borderId="37" xfId="20" applyNumberFormat="1" applyFont="1" applyBorder="1" applyAlignment="1" applyProtection="1">
      <alignment horizontal="right" vertical="center" wrapText="1"/>
      <protection/>
    </xf>
    <xf numFmtId="4" fontId="23" fillId="0" borderId="12" xfId="20" applyNumberFormat="1" applyFont="1" applyBorder="1" applyAlignment="1" applyProtection="1">
      <alignment horizontal="right" vertical="center"/>
      <protection/>
    </xf>
    <xf numFmtId="0" fontId="23" fillId="0" borderId="25" xfId="20" applyFont="1" applyBorder="1" applyAlignment="1" applyProtection="1">
      <alignment horizontal="center" vertical="center"/>
      <protection/>
    </xf>
    <xf numFmtId="0" fontId="23" fillId="0" borderId="148" xfId="31" applyFont="1" applyBorder="1" applyAlignment="1">
      <alignment horizontal="center" vertical="center" wrapText="1"/>
      <protection/>
    </xf>
    <xf numFmtId="0" fontId="23" fillId="0" borderId="148" xfId="31" applyFont="1" applyBorder="1" applyAlignment="1">
      <alignment horizontal="left" vertical="center" wrapText="1"/>
      <protection/>
    </xf>
    <xf numFmtId="4" fontId="23" fillId="0" borderId="149" xfId="31" applyNumberFormat="1" applyFont="1" applyBorder="1" applyAlignment="1">
      <alignment horizontal="left" vertical="center" wrapText="1"/>
      <protection/>
    </xf>
    <xf numFmtId="4" fontId="23" fillId="0" borderId="150" xfId="31" applyNumberFormat="1" applyFont="1" applyBorder="1" applyAlignment="1">
      <alignment horizontal="left" vertical="center" wrapText="1"/>
      <protection/>
    </xf>
    <xf numFmtId="4" fontId="23" fillId="0" borderId="149" xfId="31" applyNumberFormat="1" applyFont="1" applyBorder="1" applyAlignment="1">
      <alignment horizontal="right" vertical="center" wrapText="1"/>
      <protection/>
    </xf>
    <xf numFmtId="4" fontId="23" fillId="0" borderId="43" xfId="31" applyNumberFormat="1" applyFont="1" applyBorder="1" applyAlignment="1">
      <alignment horizontal="left" vertical="center" wrapText="1"/>
      <protection/>
    </xf>
    <xf numFmtId="4" fontId="23" fillId="0" borderId="56" xfId="31" applyNumberFormat="1" applyFont="1" applyBorder="1" applyAlignment="1">
      <alignment horizontal="left" vertical="center" wrapText="1"/>
      <protection/>
    </xf>
    <xf numFmtId="4" fontId="23" fillId="0" borderId="55" xfId="31" applyNumberFormat="1" applyFont="1" applyBorder="1" applyAlignment="1">
      <alignment horizontal="left" vertical="center" wrapText="1"/>
      <protection/>
    </xf>
    <xf numFmtId="4" fontId="23" fillId="0" borderId="48" xfId="31" applyNumberFormat="1" applyFont="1" applyBorder="1" applyAlignment="1">
      <alignment horizontal="right" vertical="center" wrapText="1"/>
      <protection/>
    </xf>
    <xf numFmtId="0" fontId="26" fillId="0" borderId="52" xfId="31" applyFont="1" applyBorder="1" applyAlignment="1">
      <alignment horizontal="left" vertical="center" wrapText="1"/>
      <protection/>
    </xf>
    <xf numFmtId="0" fontId="23" fillId="0" borderId="151" xfId="31" applyFont="1" applyBorder="1" applyAlignment="1">
      <alignment horizontal="center" vertical="center" wrapText="1"/>
      <protection/>
    </xf>
    <xf numFmtId="0" fontId="23" fillId="0" borderId="151" xfId="31" applyFont="1" applyBorder="1" applyAlignment="1">
      <alignment horizontal="left" vertical="center" wrapText="1"/>
      <protection/>
    </xf>
    <xf numFmtId="4" fontId="23" fillId="0" borderId="152" xfId="31" applyNumberFormat="1" applyFont="1" applyBorder="1" applyAlignment="1">
      <alignment horizontal="left" vertical="center" wrapText="1"/>
      <protection/>
    </xf>
    <xf numFmtId="4" fontId="23" fillId="0" borderId="153" xfId="31" applyNumberFormat="1" applyFont="1" applyBorder="1" applyAlignment="1">
      <alignment horizontal="left" vertical="center" wrapText="1"/>
      <protection/>
    </xf>
    <xf numFmtId="4" fontId="23" fillId="0" borderId="152" xfId="31" applyNumberFormat="1" applyFont="1" applyBorder="1" applyAlignment="1">
      <alignment horizontal="right" vertical="center" wrapText="1"/>
      <protection/>
    </xf>
    <xf numFmtId="1" fontId="23" fillId="0" borderId="140" xfId="28" applyNumberFormat="1" applyFont="1" applyFill="1" applyBorder="1" applyAlignment="1">
      <alignment horizontal="center" vertical="center" wrapText="1"/>
      <protection/>
    </xf>
    <xf numFmtId="4" fontId="23" fillId="0" borderId="11" xfId="28" applyNumberFormat="1" applyFont="1" applyFill="1" applyBorder="1" applyAlignment="1">
      <alignment vertical="center" wrapText="1"/>
      <protection/>
    </xf>
    <xf numFmtId="4" fontId="23" fillId="0" borderId="68" xfId="28" applyNumberFormat="1" applyFont="1" applyFill="1" applyBorder="1" applyAlignment="1">
      <alignment vertical="center" wrapText="1"/>
      <protection/>
    </xf>
    <xf numFmtId="4" fontId="23" fillId="0" borderId="11" xfId="28" applyNumberFormat="1" applyFont="1" applyFill="1" applyBorder="1" applyAlignment="1">
      <alignment horizontal="right" vertical="center" wrapText="1"/>
      <protection/>
    </xf>
    <xf numFmtId="0" fontId="26" fillId="0" borderId="0" xfId="31" applyFont="1" applyBorder="1" applyAlignment="1" quotePrefix="1">
      <alignment horizontal="left" vertical="center" wrapText="1"/>
      <protection/>
    </xf>
    <xf numFmtId="0" fontId="23" fillId="0" borderId="35" xfId="20" applyFont="1" applyFill="1" applyBorder="1" applyAlignment="1" applyProtection="1">
      <alignment horizontal="center" vertical="center"/>
      <protection/>
    </xf>
    <xf numFmtId="0" fontId="23" fillId="0" borderId="154" xfId="20" applyFont="1" applyBorder="1" applyAlignment="1" applyProtection="1">
      <alignment horizontal="center" vertical="center"/>
      <protection/>
    </xf>
    <xf numFmtId="1" fontId="23" fillId="0" borderId="155" xfId="20" applyNumberFormat="1" applyFont="1" applyBorder="1" applyAlignment="1" applyProtection="1">
      <alignment horizontal="left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3" fillId="0" borderId="156" xfId="31" applyFont="1" applyBorder="1" applyAlignment="1">
      <alignment horizontal="center" vertical="center" wrapText="1"/>
      <protection/>
    </xf>
    <xf numFmtId="1" fontId="23" fillId="0" borderId="73" xfId="25" applyNumberFormat="1" applyFont="1" applyBorder="1" applyAlignment="1" applyProtection="1">
      <alignment horizontal="center" vertical="center" wrapText="1"/>
      <protection/>
    </xf>
    <xf numFmtId="4" fontId="34" fillId="11" borderId="157" xfId="25" applyNumberFormat="1" applyFont="1" applyFill="1" applyBorder="1" applyAlignment="1" applyProtection="1">
      <alignment horizontal="center" vertical="center"/>
      <protection/>
    </xf>
    <xf numFmtId="4" fontId="35" fillId="11" borderId="157" xfId="25" applyNumberFormat="1" applyFont="1" applyFill="1" applyBorder="1" applyAlignment="1" applyProtection="1">
      <alignment horizontal="center" vertical="center"/>
      <protection/>
    </xf>
    <xf numFmtId="4" fontId="35" fillId="11" borderId="158" xfId="25" applyNumberFormat="1" applyFont="1" applyFill="1" applyBorder="1" applyAlignment="1" applyProtection="1">
      <alignment horizontal="center" vertical="center"/>
      <protection/>
    </xf>
    <xf numFmtId="4" fontId="23" fillId="0" borderId="7" xfId="25" applyNumberFormat="1" applyFont="1" applyFill="1" applyBorder="1" applyAlignment="1" applyProtection="1">
      <alignment horizontal="center" vertical="center"/>
      <protection/>
    </xf>
    <xf numFmtId="1" fontId="22" fillId="2" borderId="105" xfId="25" applyNumberFormat="1" applyFont="1" applyFill="1" applyBorder="1" applyAlignment="1" applyProtection="1">
      <alignment horizontal="center" vertical="center" wrapText="1"/>
      <protection/>
    </xf>
    <xf numFmtId="4" fontId="23" fillId="2" borderId="5" xfId="25" applyNumberFormat="1" applyFont="1" applyFill="1" applyBorder="1" applyAlignment="1" applyProtection="1">
      <alignment horizontal="center" vertical="center"/>
      <protection/>
    </xf>
    <xf numFmtId="4" fontId="22" fillId="2" borderId="5" xfId="25" applyNumberFormat="1" applyFont="1" applyFill="1" applyBorder="1" applyAlignment="1" applyProtection="1">
      <alignment horizontal="center" vertical="center"/>
      <protection/>
    </xf>
    <xf numFmtId="4" fontId="22" fillId="2" borderId="24" xfId="25" applyNumberFormat="1" applyFont="1" applyFill="1" applyBorder="1" applyAlignment="1" applyProtection="1">
      <alignment horizontal="center" vertical="center"/>
      <protection/>
    </xf>
    <xf numFmtId="4" fontId="22" fillId="2" borderId="25" xfId="25" applyNumberFormat="1" applyFont="1" applyFill="1" applyBorder="1" applyAlignment="1" applyProtection="1">
      <alignment horizontal="center" vertical="center"/>
      <protection/>
    </xf>
    <xf numFmtId="1" fontId="23" fillId="0" borderId="7" xfId="25" applyNumberFormat="1" applyFont="1" applyFill="1" applyBorder="1" applyAlignment="1" applyProtection="1">
      <alignment horizontal="center" vertical="center" wrapText="1"/>
      <protection/>
    </xf>
    <xf numFmtId="4" fontId="23" fillId="0" borderId="8" xfId="25" applyNumberFormat="1" applyFont="1" applyFill="1" applyBorder="1" applyAlignment="1" applyProtection="1">
      <alignment horizontal="center" vertical="center"/>
      <protection/>
    </xf>
    <xf numFmtId="4" fontId="23" fillId="0" borderId="8" xfId="25" applyNumberFormat="1" applyFont="1" applyFill="1" applyBorder="1" applyAlignment="1" applyProtection="1">
      <alignment horizontal="left" vertical="center" wrapText="1"/>
      <protection/>
    </xf>
    <xf numFmtId="4" fontId="23" fillId="0" borderId="144" xfId="25" applyNumberFormat="1" applyFont="1" applyFill="1" applyBorder="1" applyAlignment="1" applyProtection="1">
      <alignment horizontal="left" vertical="center" wrapText="1"/>
      <protection/>
    </xf>
    <xf numFmtId="4" fontId="23" fillId="0" borderId="124" xfId="25" applyNumberFormat="1" applyFont="1" applyFill="1" applyBorder="1" applyAlignment="1" applyProtection="1">
      <alignment horizontal="right" vertical="center"/>
      <protection/>
    </xf>
    <xf numFmtId="4" fontId="23" fillId="0" borderId="144" xfId="25" applyNumberFormat="1" applyFont="1" applyFill="1" applyBorder="1" applyAlignment="1" applyProtection="1">
      <alignment horizontal="right" vertical="center"/>
      <protection/>
    </xf>
    <xf numFmtId="4" fontId="23" fillId="0" borderId="62" xfId="25" applyNumberFormat="1" applyFont="1" applyFill="1" applyBorder="1" applyAlignment="1" applyProtection="1">
      <alignment horizontal="right" vertical="center"/>
      <protection/>
    </xf>
    <xf numFmtId="4" fontId="23" fillId="0" borderId="0" xfId="25" applyNumberFormat="1" applyFont="1" applyFill="1" applyBorder="1" applyAlignment="1" applyProtection="1">
      <alignment horizontal="center" vertical="center"/>
      <protection/>
    </xf>
    <xf numFmtId="4" fontId="23" fillId="0" borderId="0" xfId="25" applyNumberFormat="1" applyFont="1" applyFill="1" applyBorder="1" applyAlignment="1" applyProtection="1">
      <alignment horizontal="left" vertical="center" wrapText="1"/>
      <protection/>
    </xf>
    <xf numFmtId="4" fontId="23" fillId="0" borderId="7" xfId="25" applyNumberFormat="1" applyFont="1" applyFill="1" applyBorder="1" applyAlignment="1" applyProtection="1">
      <alignment horizontal="left" vertical="center" wrapText="1"/>
      <protection/>
    </xf>
    <xf numFmtId="4" fontId="23" fillId="0" borderId="9" xfId="25" applyNumberFormat="1" applyFont="1" applyFill="1" applyBorder="1" applyAlignment="1" applyProtection="1">
      <alignment horizontal="right" vertical="center"/>
      <protection/>
    </xf>
    <xf numFmtId="4" fontId="23" fillId="0" borderId="7" xfId="25" applyNumberFormat="1" applyFont="1" applyFill="1" applyBorder="1" applyAlignment="1" applyProtection="1">
      <alignment horizontal="right" vertical="center"/>
      <protection/>
    </xf>
    <xf numFmtId="4" fontId="23" fillId="0" borderId="35" xfId="25" applyNumberFormat="1" applyFont="1" applyFill="1" applyBorder="1" applyAlignment="1" applyProtection="1">
      <alignment horizontal="right" vertical="center"/>
      <protection/>
    </xf>
    <xf numFmtId="4" fontId="23" fillId="0" borderId="16" xfId="25" applyNumberFormat="1" applyFont="1" applyFill="1" applyBorder="1" applyAlignment="1" applyProtection="1">
      <alignment horizontal="center" vertical="center"/>
      <protection/>
    </xf>
    <xf numFmtId="4" fontId="23" fillId="0" borderId="94" xfId="25" applyNumberFormat="1" applyFont="1" applyFill="1" applyBorder="1" applyAlignment="1" applyProtection="1">
      <alignment horizontal="left" vertical="center" wrapText="1"/>
      <protection/>
    </xf>
    <xf numFmtId="4" fontId="23" fillId="0" borderId="93" xfId="25" applyNumberFormat="1" applyFont="1" applyFill="1" applyBorder="1" applyAlignment="1" applyProtection="1">
      <alignment horizontal="left" vertical="center" wrapText="1"/>
      <protection/>
    </xf>
    <xf numFmtId="4" fontId="22" fillId="0" borderId="93" xfId="25" applyNumberFormat="1" applyFont="1" applyFill="1" applyBorder="1" applyAlignment="1" applyProtection="1">
      <alignment horizontal="right" vertical="center"/>
      <protection/>
    </xf>
    <xf numFmtId="4" fontId="23" fillId="0" borderId="94" xfId="25" applyNumberFormat="1" applyFont="1" applyFill="1" applyBorder="1" applyAlignment="1" applyProtection="1">
      <alignment horizontal="right" vertical="center"/>
      <protection/>
    </xf>
    <xf numFmtId="4" fontId="23" fillId="0" borderId="95" xfId="25" applyNumberFormat="1" applyFont="1" applyFill="1" applyBorder="1" applyAlignment="1" applyProtection="1">
      <alignment horizontal="right" vertical="center"/>
      <protection/>
    </xf>
    <xf numFmtId="4" fontId="22" fillId="0" borderId="9" xfId="25" applyNumberFormat="1" applyFont="1" applyFill="1" applyBorder="1" applyAlignment="1" applyProtection="1">
      <alignment horizontal="right" vertical="center"/>
      <protection/>
    </xf>
    <xf numFmtId="4" fontId="23" fillId="0" borderId="16" xfId="25" applyNumberFormat="1" applyFont="1" applyFill="1" applyBorder="1" applyAlignment="1" applyProtection="1">
      <alignment horizontal="left" vertical="center" wrapText="1"/>
      <protection/>
    </xf>
    <xf numFmtId="4" fontId="23" fillId="0" borderId="69" xfId="25" applyNumberFormat="1" applyFont="1" applyBorder="1" applyAlignment="1" applyProtection="1">
      <alignment horizontal="center" vertical="center"/>
      <protection/>
    </xf>
    <xf numFmtId="4" fontId="34" fillId="11" borderId="159" xfId="25" applyNumberFormat="1" applyFont="1" applyFill="1" applyBorder="1" applyAlignment="1" applyProtection="1">
      <alignment horizontal="center" vertical="center"/>
      <protection/>
    </xf>
    <xf numFmtId="4" fontId="35" fillId="11" borderId="159" xfId="25" applyNumberFormat="1" applyFont="1" applyFill="1" applyBorder="1" applyAlignment="1" applyProtection="1">
      <alignment horizontal="center" vertical="center"/>
      <protection/>
    </xf>
    <xf numFmtId="4" fontId="35" fillId="11" borderId="160" xfId="25" applyNumberFormat="1" applyFont="1" applyFill="1" applyBorder="1" applyAlignment="1" applyProtection="1">
      <alignment horizontal="center" vertical="center"/>
      <protection/>
    </xf>
    <xf numFmtId="4" fontId="35" fillId="11" borderId="161" xfId="25" applyNumberFormat="1" applyFont="1" applyFill="1" applyBorder="1" applyAlignment="1" applyProtection="1">
      <alignment horizontal="center" vertical="center"/>
      <protection/>
    </xf>
    <xf numFmtId="0" fontId="10" fillId="0" borderId="104" xfId="20" applyFont="1" applyBorder="1" applyAlignment="1" applyProtection="1">
      <alignment horizontal="center" vertical="center"/>
      <protection/>
    </xf>
    <xf numFmtId="0" fontId="10" fillId="0" borderId="162" xfId="20" applyFont="1" applyBorder="1" applyAlignment="1" applyProtection="1">
      <alignment horizontal="center" vertical="center"/>
      <protection/>
    </xf>
    <xf numFmtId="0" fontId="10" fillId="2" borderId="17" xfId="15" applyFont="1" applyBorder="1" applyAlignment="1">
      <alignment horizontal="center" vertical="center" wrapText="1"/>
      <protection/>
    </xf>
    <xf numFmtId="0" fontId="10" fillId="5" borderId="162" xfId="28" applyFont="1" applyFill="1" applyBorder="1" applyAlignment="1">
      <alignment horizontal="center" vertical="center" wrapText="1"/>
      <protection/>
    </xf>
    <xf numFmtId="0" fontId="10" fillId="0" borderId="86" xfId="0" applyNumberFormat="1" applyFont="1" applyFill="1" applyBorder="1" applyAlignment="1" applyProtection="1">
      <alignment horizontal="center" vertical="center"/>
      <protection/>
    </xf>
    <xf numFmtId="0" fontId="10" fillId="5" borderId="163" xfId="28" applyFont="1" applyFill="1" applyBorder="1" applyAlignment="1">
      <alignment horizontal="center" vertical="center" wrapText="1"/>
      <protection/>
    </xf>
    <xf numFmtId="0" fontId="10" fillId="0" borderId="22" xfId="31" applyFont="1" applyBorder="1" applyAlignment="1">
      <alignment horizontal="center" vertical="center" wrapText="1"/>
      <protection/>
    </xf>
    <xf numFmtId="0" fontId="10" fillId="0" borderId="45" xfId="20" applyFont="1" applyBorder="1" applyAlignment="1" applyProtection="1">
      <alignment horizontal="center" vertical="center"/>
      <protection/>
    </xf>
    <xf numFmtId="0" fontId="10" fillId="0" borderId="86" xfId="20" applyFont="1" applyBorder="1" applyAlignment="1" applyProtection="1">
      <alignment horizontal="center" vertical="center"/>
      <protection/>
    </xf>
    <xf numFmtId="0" fontId="10" fillId="3" borderId="163" xfId="28" applyFont="1" applyFill="1" applyBorder="1" applyAlignment="1">
      <alignment horizontal="center" vertical="center" wrapText="1"/>
      <protection/>
    </xf>
    <xf numFmtId="0" fontId="10" fillId="0" borderId="96" xfId="20" applyFont="1" applyBorder="1" applyAlignment="1" applyProtection="1">
      <alignment horizontal="center" vertical="center"/>
      <protection/>
    </xf>
    <xf numFmtId="0" fontId="10" fillId="0" borderId="22" xfId="20" applyFont="1" applyBorder="1" applyAlignment="1" applyProtection="1">
      <alignment horizontal="center" vertical="center"/>
      <protection/>
    </xf>
    <xf numFmtId="0" fontId="10" fillId="0" borderId="164" xfId="20" applyFont="1" applyBorder="1" applyAlignment="1" applyProtection="1">
      <alignment horizontal="center" vertical="center"/>
      <protection/>
    </xf>
    <xf numFmtId="0" fontId="10" fillId="0" borderId="63" xfId="28" applyFont="1" applyFill="1" applyBorder="1" applyAlignment="1">
      <alignment horizontal="center" vertical="center" wrapText="1"/>
      <protection/>
    </xf>
    <xf numFmtId="0" fontId="10" fillId="3" borderId="82" xfId="28" applyFont="1" applyFill="1" applyBorder="1" applyAlignment="1">
      <alignment horizontal="center" vertical="center" wrapText="1"/>
      <protection/>
    </xf>
    <xf numFmtId="0" fontId="10" fillId="0" borderId="165" xfId="20" applyFont="1" applyBorder="1" applyAlignment="1" applyProtection="1">
      <alignment horizontal="center" vertical="center"/>
      <protection/>
    </xf>
    <xf numFmtId="0" fontId="10" fillId="0" borderId="63" xfId="20" applyFont="1" applyBorder="1" applyAlignment="1" applyProtection="1">
      <alignment horizontal="center" vertical="center"/>
      <protection/>
    </xf>
    <xf numFmtId="0" fontId="10" fillId="0" borderId="69" xfId="20" applyFont="1" applyBorder="1" applyAlignment="1" applyProtection="1">
      <alignment horizontal="center" vertical="center"/>
      <protection/>
    </xf>
    <xf numFmtId="0" fontId="10" fillId="0" borderId="166" xfId="28" applyFont="1" applyFill="1" applyBorder="1" applyAlignment="1">
      <alignment horizontal="center" vertical="center" wrapText="1"/>
      <protection/>
    </xf>
    <xf numFmtId="0" fontId="10" fillId="5" borderId="5" xfId="28" applyFont="1" applyFill="1" applyBorder="1" applyAlignment="1">
      <alignment horizontal="center" vertical="center" wrapText="1"/>
      <protection/>
    </xf>
    <xf numFmtId="0" fontId="10" fillId="0" borderId="77" xfId="31" applyFont="1" applyBorder="1" applyAlignment="1">
      <alignment horizontal="center" vertical="center" wrapText="1"/>
      <protection/>
    </xf>
    <xf numFmtId="0" fontId="20" fillId="0" borderId="38" xfId="31" applyFont="1" applyBorder="1" applyAlignment="1">
      <alignment horizontal="center" vertical="center" wrapText="1"/>
      <protection/>
    </xf>
    <xf numFmtId="0" fontId="20" fillId="0" borderId="26" xfId="31" applyFont="1" applyBorder="1" applyAlignment="1">
      <alignment horizontal="center" vertical="center" wrapText="1"/>
      <protection/>
    </xf>
    <xf numFmtId="0" fontId="20" fillId="0" borderId="58" xfId="31" applyFont="1" applyBorder="1" applyAlignment="1">
      <alignment horizontal="center" vertical="center" wrapText="1"/>
      <protection/>
    </xf>
    <xf numFmtId="0" fontId="10" fillId="5" borderId="69" xfId="28" applyFont="1" applyFill="1" applyBorder="1" applyAlignment="1">
      <alignment horizontal="center" vertical="center" wrapText="1"/>
      <protection/>
    </xf>
    <xf numFmtId="0" fontId="10" fillId="5" borderId="82" xfId="28" applyFont="1" applyFill="1" applyBorder="1" applyAlignment="1">
      <alignment horizontal="center" vertical="center" wrapText="1"/>
      <protection/>
    </xf>
    <xf numFmtId="0" fontId="10" fillId="0" borderId="22" xfId="28" applyFont="1" applyFill="1" applyBorder="1" applyAlignment="1">
      <alignment horizontal="center" vertical="center" wrapText="1"/>
      <protection/>
    </xf>
    <xf numFmtId="0" fontId="10" fillId="0" borderId="38" xfId="28" applyFont="1" applyFill="1" applyBorder="1" applyAlignment="1">
      <alignment horizontal="center" vertical="center" wrapText="1"/>
      <protection/>
    </xf>
    <xf numFmtId="0" fontId="10" fillId="0" borderId="52" xfId="28" applyFont="1" applyFill="1" applyBorder="1" applyAlignment="1">
      <alignment horizontal="center" vertical="center" wrapText="1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86" xfId="20" applyFont="1" applyFill="1" applyBorder="1" applyAlignment="1" applyProtection="1">
      <alignment horizontal="center" vertical="center"/>
      <protection/>
    </xf>
    <xf numFmtId="0" fontId="10" fillId="0" borderId="167" xfId="0" applyFont="1" applyBorder="1" applyAlignment="1" applyProtection="1">
      <alignment horizontal="center" vertical="center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68" xfId="0" applyFont="1" applyBorder="1" applyAlignment="1" applyProtection="1">
      <alignment horizontal="center" vertical="center"/>
      <protection/>
    </xf>
    <xf numFmtId="0" fontId="10" fillId="5" borderId="17" xfId="28" applyFont="1" applyFill="1" applyBorder="1" applyAlignment="1">
      <alignment horizontal="center" vertical="center" wrapText="1"/>
      <protection/>
    </xf>
    <xf numFmtId="0" fontId="10" fillId="0" borderId="104" xfId="20" applyFont="1" applyFill="1" applyBorder="1" applyAlignment="1" applyProtection="1">
      <alignment horizontal="center" vertical="center"/>
      <protection/>
    </xf>
    <xf numFmtId="0" fontId="10" fillId="5" borderId="104" xfId="28" applyFont="1" applyFill="1" applyBorder="1" applyAlignment="1">
      <alignment horizontal="center" vertical="center" wrapText="1"/>
      <protection/>
    </xf>
    <xf numFmtId="0" fontId="10" fillId="2" borderId="69" xfId="20" applyFont="1" applyFill="1" applyBorder="1" applyAlignment="1" applyProtection="1">
      <alignment horizontal="center" vertical="center"/>
      <protection/>
    </xf>
    <xf numFmtId="0" fontId="10" fillId="8" borderId="163" xfId="28" applyFont="1" applyFill="1" applyBorder="1" applyAlignment="1">
      <alignment horizontal="center" vertical="center" wrapText="1"/>
      <protection/>
    </xf>
    <xf numFmtId="0" fontId="10" fillId="4" borderId="17" xfId="20" applyFont="1" applyFill="1" applyBorder="1" applyAlignment="1" applyProtection="1">
      <alignment horizontal="center" vertical="center"/>
      <protection/>
    </xf>
    <xf numFmtId="0" fontId="10" fillId="0" borderId="45" xfId="31" applyFont="1" applyBorder="1" applyAlignment="1">
      <alignment horizontal="center" vertical="center" wrapText="1"/>
      <protection/>
    </xf>
    <xf numFmtId="0" fontId="10" fillId="2" borderId="105" xfId="15" applyFont="1" applyBorder="1" applyAlignment="1">
      <alignment horizontal="center" vertical="center" wrapText="1"/>
      <protection/>
    </xf>
    <xf numFmtId="0" fontId="10" fillId="5" borderId="70" xfId="28" applyFont="1" applyFill="1" applyBorder="1" applyAlignment="1">
      <alignment horizontal="center" vertical="center" wrapText="1"/>
      <protection/>
    </xf>
    <xf numFmtId="0" fontId="10" fillId="0" borderId="52" xfId="31" applyFont="1" applyBorder="1" applyAlignment="1">
      <alignment horizontal="center" vertical="center" wrapText="1"/>
      <protection/>
    </xf>
    <xf numFmtId="0" fontId="10" fillId="5" borderId="19" xfId="28" applyFont="1" applyFill="1" applyBorder="1" applyAlignment="1">
      <alignment horizontal="center" vertical="center" wrapText="1"/>
      <protection/>
    </xf>
    <xf numFmtId="0" fontId="10" fillId="0" borderId="26" xfId="31" applyFont="1" applyBorder="1" applyAlignment="1">
      <alignment horizontal="center" vertical="center" wrapText="1"/>
      <protection/>
    </xf>
    <xf numFmtId="4" fontId="10" fillId="2" borderId="105" xfId="15" applyNumberFormat="1" applyFont="1" applyBorder="1" applyAlignment="1">
      <alignment horizontal="center" vertical="center" wrapText="1"/>
      <protection/>
    </xf>
    <xf numFmtId="4" fontId="10" fillId="5" borderId="70" xfId="28" applyNumberFormat="1" applyFont="1" applyFill="1" applyBorder="1" applyAlignment="1">
      <alignment horizontal="center" vertical="center" wrapText="1"/>
      <protection/>
    </xf>
    <xf numFmtId="4" fontId="10" fillId="0" borderId="26" xfId="31" applyNumberFormat="1" applyFont="1" applyBorder="1" applyAlignment="1">
      <alignment horizontal="center" vertical="center" wrapText="1"/>
      <protection/>
    </xf>
    <xf numFmtId="4" fontId="10" fillId="0" borderId="8" xfId="28" applyNumberFormat="1" applyFont="1" applyFill="1" applyBorder="1" applyAlignment="1">
      <alignment horizontal="center" vertical="center" wrapText="1"/>
      <protection/>
    </xf>
    <xf numFmtId="0" fontId="10" fillId="0" borderId="0" xfId="28" applyFont="1" applyFill="1" applyBorder="1" applyAlignment="1">
      <alignment horizontal="center" vertical="center" wrapText="1"/>
      <protection/>
    </xf>
    <xf numFmtId="0" fontId="10" fillId="0" borderId="104" xfId="28" applyFont="1" applyFill="1" applyBorder="1" applyAlignment="1">
      <alignment horizontal="center" vertical="center" wrapText="1"/>
      <protection/>
    </xf>
    <xf numFmtId="0" fontId="10" fillId="0" borderId="69" xfId="28" applyFont="1" applyFill="1" applyBorder="1" applyAlignment="1">
      <alignment horizontal="center" vertical="center" wrapText="1"/>
      <protection/>
    </xf>
    <xf numFmtId="0" fontId="10" fillId="0" borderId="168" xfId="28" applyFont="1" applyFill="1" applyBorder="1" applyAlignment="1">
      <alignment horizontal="center" vertical="center" wrapText="1"/>
      <protection/>
    </xf>
    <xf numFmtId="0" fontId="10" fillId="0" borderId="140" xfId="31" applyFont="1" applyBorder="1" applyAlignment="1">
      <alignment horizontal="center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69" xfId="31" applyFont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" fontId="10" fillId="5" borderId="32" xfId="28" applyNumberFormat="1" applyFont="1" applyFill="1" applyBorder="1" applyAlignment="1">
      <alignment horizontal="center" vertical="center" wrapText="1"/>
      <protection/>
    </xf>
    <xf numFmtId="4" fontId="10" fillId="0" borderId="52" xfId="28" applyNumberFormat="1" applyFont="1" applyFill="1" applyBorder="1" applyAlignment="1">
      <alignment horizontal="center" vertical="center" wrapText="1"/>
      <protection/>
    </xf>
    <xf numFmtId="4" fontId="10" fillId="0" borderId="38" xfId="28" applyNumberFormat="1" applyFont="1" applyFill="1" applyBorder="1" applyAlignment="1">
      <alignment horizontal="center" vertical="center" wrapText="1"/>
      <protection/>
    </xf>
    <xf numFmtId="4" fontId="10" fillId="5" borderId="1" xfId="28" applyNumberFormat="1" applyFont="1" applyFill="1" applyBorder="1" applyAlignment="1">
      <alignment horizontal="center" vertical="center" wrapText="1"/>
      <protection/>
    </xf>
    <xf numFmtId="4" fontId="10" fillId="0" borderId="5" xfId="28" applyNumberFormat="1" applyFont="1" applyFill="1" applyBorder="1" applyAlignment="1">
      <alignment horizontal="center" vertical="center" wrapText="1"/>
      <protection/>
    </xf>
    <xf numFmtId="4" fontId="10" fillId="5" borderId="75" xfId="28" applyNumberFormat="1" applyFont="1" applyFill="1" applyBorder="1" applyAlignment="1">
      <alignment horizontal="center" vertical="center" wrapText="1"/>
      <protection/>
    </xf>
    <xf numFmtId="4" fontId="10" fillId="0" borderId="0" xfId="28" applyNumberFormat="1" applyFont="1" applyFill="1" applyBorder="1" applyAlignment="1">
      <alignment horizontal="center" vertical="center" wrapText="1"/>
      <protection/>
    </xf>
    <xf numFmtId="4" fontId="10" fillId="0" borderId="58" xfId="28" applyNumberFormat="1" applyFont="1" applyFill="1" applyBorder="1" applyAlignment="1">
      <alignment horizontal="center" vertical="center" wrapText="1"/>
      <protection/>
    </xf>
    <xf numFmtId="4" fontId="10" fillId="0" borderId="2" xfId="31" applyNumberFormat="1" applyFont="1" applyBorder="1" applyAlignment="1">
      <alignment horizontal="center" vertical="center" wrapText="1"/>
      <protection/>
    </xf>
    <xf numFmtId="4" fontId="10" fillId="0" borderId="114" xfId="31" applyNumberFormat="1" applyFont="1" applyBorder="1" applyAlignment="1">
      <alignment horizontal="center" vertical="center" wrapText="1"/>
      <protection/>
    </xf>
    <xf numFmtId="4" fontId="10" fillId="0" borderId="0" xfId="31" applyNumberFormat="1" applyFont="1" applyBorder="1" applyAlignment="1">
      <alignment horizontal="center" vertical="center" wrapText="1"/>
      <protection/>
    </xf>
    <xf numFmtId="0" fontId="10" fillId="5" borderId="1" xfId="28" applyFont="1" applyFill="1" applyBorder="1" applyAlignment="1">
      <alignment horizontal="center" vertical="center" wrapText="1"/>
      <protection/>
    </xf>
    <xf numFmtId="0" fontId="10" fillId="0" borderId="65" xfId="31" applyFont="1" applyBorder="1" applyAlignment="1">
      <alignment horizontal="center" vertical="center" wrapText="1"/>
      <protection/>
    </xf>
    <xf numFmtId="4" fontId="10" fillId="0" borderId="22" xfId="28" applyNumberFormat="1" applyFont="1" applyFill="1" applyBorder="1" applyAlignment="1">
      <alignment horizontal="center" vertical="center" wrapText="1"/>
      <protection/>
    </xf>
    <xf numFmtId="0" fontId="10" fillId="0" borderId="86" xfId="31" applyFont="1" applyBorder="1" applyAlignment="1">
      <alignment horizontal="center" vertical="center" wrapText="1"/>
      <protection/>
    </xf>
    <xf numFmtId="0" fontId="10" fillId="2" borderId="82" xfId="15" applyFont="1" applyBorder="1" applyAlignment="1">
      <alignment horizontal="center" vertical="center" wrapText="1"/>
      <protection/>
    </xf>
    <xf numFmtId="4" fontId="10" fillId="5" borderId="5" xfId="28" applyNumberFormat="1" applyFont="1" applyFill="1" applyBorder="1" applyAlignment="1">
      <alignment horizontal="center" vertical="center" wrapText="1"/>
      <protection/>
    </xf>
    <xf numFmtId="4" fontId="10" fillId="0" borderId="8" xfId="31" applyNumberFormat="1" applyFont="1" applyBorder="1" applyAlignment="1">
      <alignment horizontal="center" vertical="center" wrapText="1"/>
      <protection/>
    </xf>
    <xf numFmtId="4" fontId="10" fillId="0" borderId="164" xfId="31" applyNumberFormat="1" applyFont="1" applyBorder="1" applyAlignment="1">
      <alignment horizontal="center" vertical="center" wrapText="1"/>
      <protection/>
    </xf>
    <xf numFmtId="4" fontId="10" fillId="0" borderId="77" xfId="31" applyNumberFormat="1" applyFont="1" applyBorder="1" applyAlignment="1">
      <alignment horizontal="center" vertical="center" wrapText="1"/>
      <protection/>
    </xf>
    <xf numFmtId="4" fontId="10" fillId="2" borderId="17" xfId="15" applyNumberFormat="1" applyFont="1" applyBorder="1" applyAlignment="1">
      <alignment horizontal="center" vertical="center" wrapText="1"/>
      <protection/>
    </xf>
    <xf numFmtId="4" fontId="10" fillId="0" borderId="26" xfId="28" applyNumberFormat="1" applyFont="1" applyFill="1" applyBorder="1" applyAlignment="1">
      <alignment horizontal="center" vertical="center" wrapText="1"/>
      <protection/>
    </xf>
    <xf numFmtId="4" fontId="10" fillId="0" borderId="45" xfId="28" applyNumberFormat="1" applyFont="1" applyFill="1" applyBorder="1" applyAlignment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4" borderId="82" xfId="0" applyNumberFormat="1" applyFont="1" applyFill="1" applyBorder="1" applyAlignment="1" applyProtection="1">
      <alignment horizontal="center" vertical="center"/>
      <protection/>
    </xf>
    <xf numFmtId="0" fontId="10" fillId="4" borderId="82" xfId="20" applyFont="1" applyFill="1" applyBorder="1" applyAlignment="1" applyProtection="1">
      <alignment horizontal="center" vertical="center"/>
      <protection/>
    </xf>
    <xf numFmtId="0" fontId="20" fillId="0" borderId="22" xfId="20" applyFont="1" applyBorder="1" applyAlignment="1" applyProtection="1">
      <alignment horizontal="center" vertical="center"/>
      <protection/>
    </xf>
    <xf numFmtId="0" fontId="20" fillId="0" borderId="96" xfId="20" applyFont="1" applyBorder="1" applyAlignment="1" applyProtection="1">
      <alignment horizontal="center" vertical="center"/>
      <protection/>
    </xf>
    <xf numFmtId="0" fontId="10" fillId="0" borderId="170" xfId="20" applyFont="1" applyBorder="1" applyAlignment="1" applyProtection="1">
      <alignment horizontal="center" vertical="center"/>
      <protection/>
    </xf>
    <xf numFmtId="4" fontId="36" fillId="11" borderId="157" xfId="25" applyNumberFormat="1" applyFont="1" applyFill="1" applyBorder="1" applyAlignment="1" applyProtection="1">
      <alignment horizontal="center" vertical="center"/>
      <protection/>
    </xf>
    <xf numFmtId="4" fontId="10" fillId="2" borderId="5" xfId="25" applyNumberFormat="1" applyFont="1" applyFill="1" applyBorder="1" applyAlignment="1" applyProtection="1">
      <alignment horizontal="center" vertical="center"/>
      <protection/>
    </xf>
    <xf numFmtId="4" fontId="10" fillId="0" borderId="8" xfId="25" applyNumberFormat="1" applyFont="1" applyFill="1" applyBorder="1" applyAlignment="1" applyProtection="1">
      <alignment horizontal="center" vertical="center"/>
      <protection/>
    </xf>
    <xf numFmtId="4" fontId="10" fillId="0" borderId="0" xfId="25" applyNumberFormat="1" applyFont="1" applyFill="1" applyBorder="1" applyAlignment="1" applyProtection="1">
      <alignment horizontal="center" vertical="center"/>
      <protection/>
    </xf>
    <xf numFmtId="4" fontId="10" fillId="0" borderId="104" xfId="25" applyNumberFormat="1" applyFont="1" applyFill="1" applyBorder="1" applyAlignment="1" applyProtection="1">
      <alignment horizontal="center" vertical="center"/>
      <protection/>
    </xf>
    <xf numFmtId="4" fontId="10" fillId="0" borderId="22" xfId="25" applyNumberFormat="1" applyFont="1" applyFill="1" applyBorder="1" applyAlignment="1" applyProtection="1">
      <alignment horizontal="center" vertical="center"/>
      <protection/>
    </xf>
    <xf numFmtId="4" fontId="36" fillId="11" borderId="159" xfId="25" applyNumberFormat="1" applyFont="1" applyFill="1" applyBorder="1" applyAlignment="1" applyProtection="1">
      <alignment horizontal="center" vertical="center"/>
      <protection/>
    </xf>
    <xf numFmtId="4" fontId="10" fillId="0" borderId="0" xfId="20" applyNumberFormat="1" applyFont="1" applyBorder="1" applyAlignment="1" applyProtection="1">
      <alignment horizontal="center" vertical="center"/>
      <protection/>
    </xf>
    <xf numFmtId="4" fontId="10" fillId="0" borderId="22" xfId="20" applyNumberFormat="1" applyFont="1" applyBorder="1" applyAlignment="1" applyProtection="1">
      <alignment horizontal="center" vertical="center"/>
      <protection/>
    </xf>
    <xf numFmtId="0" fontId="37" fillId="0" borderId="22" xfId="20" applyFont="1" applyBorder="1" applyAlignment="1" applyProtection="1">
      <alignment horizontal="center" vertical="center"/>
      <protection/>
    </xf>
    <xf numFmtId="0" fontId="37" fillId="0" borderId="22" xfId="20" applyFont="1" applyBorder="1" applyAlignment="1">
      <alignment horizontal="center" vertical="center"/>
      <protection/>
    </xf>
    <xf numFmtId="0" fontId="29" fillId="0" borderId="5" xfId="0" applyFont="1" applyBorder="1" applyAlignment="1">
      <alignment horizontal="left" vertical="center" wrapText="1"/>
    </xf>
    <xf numFmtId="0" fontId="23" fillId="0" borderId="70" xfId="20" applyFont="1" applyBorder="1" applyAlignment="1" applyProtection="1">
      <alignment horizontal="left" vertical="center" wrapText="1"/>
      <protection/>
    </xf>
    <xf numFmtId="0" fontId="23" fillId="0" borderId="26" xfId="0" applyFont="1" applyFill="1" applyBorder="1" applyAlignment="1">
      <alignment horizontal="center" vertical="center"/>
    </xf>
    <xf numFmtId="4" fontId="23" fillId="0" borderId="48" xfId="31" applyNumberFormat="1" applyFont="1" applyFill="1" applyBorder="1" applyAlignment="1">
      <alignment vertical="center" wrapText="1"/>
      <protection/>
    </xf>
    <xf numFmtId="4" fontId="23" fillId="0" borderId="49" xfId="31" applyNumberFormat="1" applyFont="1" applyFill="1" applyBorder="1" applyAlignment="1">
      <alignment vertical="center" wrapText="1"/>
      <protection/>
    </xf>
    <xf numFmtId="4" fontId="23" fillId="0" borderId="50" xfId="31" applyNumberFormat="1" applyFont="1" applyFill="1" applyBorder="1" applyAlignment="1">
      <alignment vertical="center" wrapText="1"/>
      <protection/>
    </xf>
    <xf numFmtId="4" fontId="23" fillId="0" borderId="86" xfId="31" applyNumberFormat="1" applyFont="1" applyFill="1" applyBorder="1" applyAlignment="1">
      <alignment vertical="center" wrapText="1"/>
      <protection/>
    </xf>
    <xf numFmtId="4" fontId="22" fillId="0" borderId="51" xfId="31" applyNumberFormat="1" applyFont="1" applyFill="1" applyBorder="1" applyAlignment="1">
      <alignment vertical="center" wrapText="1"/>
      <protection/>
    </xf>
    <xf numFmtId="1" fontId="23" fillId="0" borderId="7" xfId="0" applyNumberFormat="1" applyFont="1" applyBorder="1" applyAlignment="1" applyProtection="1">
      <alignment horizontal="center" vertical="center" wrapText="1"/>
      <protection/>
    </xf>
    <xf numFmtId="1" fontId="23" fillId="0" borderId="73" xfId="0" applyNumberFormat="1" applyFont="1" applyBorder="1" applyAlignment="1" applyProtection="1">
      <alignment horizontal="center" vertical="center" wrapText="1"/>
      <protection/>
    </xf>
    <xf numFmtId="1" fontId="26" fillId="0" borderId="94" xfId="20" applyNumberFormat="1" applyFont="1" applyBorder="1" applyAlignment="1" applyProtection="1">
      <alignment horizontal="center" vertical="center"/>
      <protection/>
    </xf>
    <xf numFmtId="1" fontId="26" fillId="0" borderId="73" xfId="20" applyNumberFormat="1" applyFont="1" applyBorder="1" applyAlignment="1" applyProtection="1">
      <alignment horizontal="center" vertical="center"/>
      <protection/>
    </xf>
    <xf numFmtId="0" fontId="3" fillId="0" borderId="0" xfId="23" applyFill="1" applyAlignment="1">
      <alignment horizontal="left" vertical="center"/>
      <protection/>
    </xf>
    <xf numFmtId="0" fontId="3" fillId="0" borderId="0" xfId="23" applyFill="1">
      <alignment/>
      <protection/>
    </xf>
    <xf numFmtId="0" fontId="3" fillId="0" borderId="0" xfId="23">
      <alignment/>
      <protection/>
    </xf>
    <xf numFmtId="0" fontId="44" fillId="5" borderId="3" xfId="15" applyFont="1" applyFill="1" applyBorder="1" applyAlignment="1">
      <alignment horizontal="center" vertical="center" wrapText="1"/>
      <protection/>
    </xf>
    <xf numFmtId="1" fontId="45" fillId="5" borderId="1" xfId="15" applyNumberFormat="1" applyFont="1" applyFill="1" applyAlignment="1">
      <alignment horizontal="center" vertical="center" wrapText="1"/>
      <protection/>
    </xf>
    <xf numFmtId="0" fontId="44" fillId="5" borderId="1" xfId="15" applyFont="1" applyFill="1" applyAlignment="1" quotePrefix="1">
      <alignment horizontal="center" vertical="center" wrapText="1"/>
      <protection/>
    </xf>
    <xf numFmtId="1" fontId="44" fillId="5" borderId="3" xfId="15" applyNumberFormat="1" applyFont="1" applyFill="1" applyBorder="1" applyAlignment="1">
      <alignment horizontal="center" vertical="center" wrapText="1"/>
      <protection/>
    </xf>
    <xf numFmtId="3" fontId="44" fillId="5" borderId="3" xfId="15" applyNumberFormat="1" applyFont="1" applyFill="1" applyBorder="1">
      <alignment vertical="center" wrapText="1"/>
      <protection/>
    </xf>
    <xf numFmtId="0" fontId="37" fillId="0" borderId="0" xfId="23" applyFont="1" applyFill="1" applyAlignment="1">
      <alignment horizontal="left" vertical="center"/>
      <protection/>
    </xf>
    <xf numFmtId="0" fontId="37" fillId="0" borderId="0" xfId="23" applyFont="1" applyFill="1">
      <alignment/>
      <protection/>
    </xf>
    <xf numFmtId="0" fontId="44" fillId="0" borderId="11" xfId="15" applyFont="1" applyFill="1" applyBorder="1" applyAlignment="1">
      <alignment horizontal="center" vertical="center" wrapText="1"/>
      <protection/>
    </xf>
    <xf numFmtId="0" fontId="44" fillId="12" borderId="64" xfId="28" applyFont="1" applyFill="1" applyBorder="1" applyAlignment="1" quotePrefix="1">
      <alignment horizontal="center" vertical="center" wrapText="1"/>
      <protection/>
    </xf>
    <xf numFmtId="1" fontId="45" fillId="12" borderId="1" xfId="15" applyNumberFormat="1" applyFont="1" applyFill="1" applyBorder="1" applyAlignment="1">
      <alignment horizontal="center" vertical="center" wrapText="1"/>
      <protection/>
    </xf>
    <xf numFmtId="0" fontId="44" fillId="12" borderId="1" xfId="28" applyFont="1" applyFill="1" applyBorder="1" applyAlignment="1">
      <alignment horizontal="center" vertical="center" wrapText="1"/>
      <protection/>
    </xf>
    <xf numFmtId="1" fontId="44" fillId="12" borderId="12" xfId="15" applyNumberFormat="1" applyFont="1" applyFill="1" applyBorder="1" applyAlignment="1">
      <alignment horizontal="center" vertical="center" wrapText="1"/>
      <protection/>
    </xf>
    <xf numFmtId="3" fontId="44" fillId="12" borderId="12" xfId="15" applyNumberFormat="1" applyFont="1" applyFill="1" applyBorder="1">
      <alignment vertical="center" wrapText="1"/>
      <protection/>
    </xf>
    <xf numFmtId="1" fontId="47" fillId="0" borderId="171" xfId="31" applyNumberFormat="1" applyFont="1" applyBorder="1" applyAlignment="1">
      <alignment horizontal="center" vertical="center" wrapText="1"/>
      <protection/>
    </xf>
    <xf numFmtId="0" fontId="46" fillId="0" borderId="172" xfId="31" applyFont="1" applyBorder="1" applyAlignment="1">
      <alignment horizontal="left" vertical="center" wrapText="1"/>
      <protection/>
    </xf>
    <xf numFmtId="1" fontId="46" fillId="0" borderId="173" xfId="31" applyNumberFormat="1" applyFont="1" applyBorder="1" applyAlignment="1" quotePrefix="1">
      <alignment horizontal="center" vertical="center" wrapText="1"/>
      <protection/>
    </xf>
    <xf numFmtId="3" fontId="46" fillId="0" borderId="173" xfId="31" applyNumberFormat="1" applyFont="1" applyBorder="1" applyAlignment="1">
      <alignment vertical="center" wrapText="1"/>
      <protection/>
    </xf>
    <xf numFmtId="0" fontId="46" fillId="0" borderId="0" xfId="23" applyFont="1" applyFill="1" applyAlignment="1">
      <alignment horizontal="left" vertical="center"/>
      <protection/>
    </xf>
    <xf numFmtId="0" fontId="46" fillId="0" borderId="0" xfId="23" applyFont="1" applyFill="1">
      <alignment/>
      <protection/>
    </xf>
    <xf numFmtId="0" fontId="46" fillId="0" borderId="0" xfId="23" applyFont="1">
      <alignment/>
      <protection/>
    </xf>
    <xf numFmtId="0" fontId="44" fillId="5" borderId="1" xfId="15" applyFont="1" applyFill="1" applyAlignment="1">
      <alignment horizontal="center" vertical="center" wrapText="1"/>
      <protection/>
    </xf>
    <xf numFmtId="1" fontId="47" fillId="0" borderId="77" xfId="31" applyNumberFormat="1" applyFont="1" applyBorder="1" applyAlignment="1">
      <alignment horizontal="center" vertical="center" wrapText="1"/>
      <protection/>
    </xf>
    <xf numFmtId="0" fontId="46" fillId="0" borderId="77" xfId="31" applyFont="1" applyBorder="1" applyAlignment="1" quotePrefix="1">
      <alignment horizontal="left" vertical="center" wrapText="1"/>
      <protection/>
    </xf>
    <xf numFmtId="1" fontId="46" fillId="0" borderId="27" xfId="31" applyNumberFormat="1" applyFont="1" applyBorder="1" applyAlignment="1" quotePrefix="1">
      <alignment horizontal="center" vertical="center" wrapText="1"/>
      <protection/>
    </xf>
    <xf numFmtId="3" fontId="46" fillId="0" borderId="27" xfId="31" applyNumberFormat="1" applyFont="1" applyBorder="1" applyAlignment="1">
      <alignment vertical="center" wrapText="1"/>
      <protection/>
    </xf>
    <xf numFmtId="1" fontId="47" fillId="0" borderId="0" xfId="31" applyNumberFormat="1" applyFont="1" applyBorder="1" applyAlignment="1">
      <alignment horizontal="center" vertical="center" wrapText="1"/>
      <protection/>
    </xf>
    <xf numFmtId="0" fontId="48" fillId="0" borderId="0" xfId="31" applyFont="1" applyBorder="1" applyAlignment="1">
      <alignment horizontal="left" vertical="center" wrapText="1"/>
      <protection/>
    </xf>
    <xf numFmtId="0" fontId="46" fillId="0" borderId="0" xfId="23" applyFont="1" applyFill="1" applyBorder="1" applyAlignment="1">
      <alignment horizontal="left" vertical="center"/>
      <protection/>
    </xf>
    <xf numFmtId="0" fontId="46" fillId="0" borderId="0" xfId="23" applyFont="1" applyFill="1" applyBorder="1">
      <alignment/>
      <protection/>
    </xf>
    <xf numFmtId="0" fontId="46" fillId="0" borderId="0" xfId="23" applyFont="1" applyBorder="1">
      <alignment/>
      <protection/>
    </xf>
    <xf numFmtId="1" fontId="47" fillId="0" borderId="174" xfId="31" applyNumberFormat="1" applyFont="1" applyBorder="1" applyAlignment="1">
      <alignment horizontal="center" vertical="center" wrapText="1"/>
      <protection/>
    </xf>
    <xf numFmtId="0" fontId="46" fillId="0" borderId="77" xfId="31" applyFont="1" applyBorder="1">
      <alignment vertical="center" wrapText="1"/>
      <protection/>
    </xf>
    <xf numFmtId="0" fontId="48" fillId="0" borderId="0" xfId="31" applyFont="1" applyBorder="1" applyAlignment="1" quotePrefix="1">
      <alignment horizontal="left" vertical="center" wrapText="1"/>
      <protection/>
    </xf>
    <xf numFmtId="1" fontId="47" fillId="0" borderId="0" xfId="31" applyNumberFormat="1" applyFont="1" applyBorder="1" applyAlignment="1" quotePrefix="1">
      <alignment horizontal="center" vertical="center" wrapText="1"/>
      <protection/>
    </xf>
    <xf numFmtId="0" fontId="44" fillId="0" borderId="0" xfId="23" applyFont="1" applyFill="1" applyAlignment="1" applyProtection="1">
      <alignment horizontal="left" vertical="center"/>
      <protection/>
    </xf>
    <xf numFmtId="0" fontId="44" fillId="0" borderId="0" xfId="23" applyFont="1" applyFill="1" applyProtection="1">
      <alignment/>
      <protection/>
    </xf>
    <xf numFmtId="0" fontId="44" fillId="12" borderId="3" xfId="15" applyFont="1" applyFill="1" applyBorder="1" applyAlignment="1">
      <alignment horizontal="center" vertical="center" wrapText="1"/>
      <protection/>
    </xf>
    <xf numFmtId="0" fontId="44" fillId="12" borderId="1" xfId="15" applyFont="1" applyFill="1" applyBorder="1" applyAlignment="1">
      <alignment horizontal="center" vertical="center" wrapText="1"/>
      <protection/>
    </xf>
    <xf numFmtId="1" fontId="44" fillId="12" borderId="3" xfId="15" applyNumberFormat="1" applyFont="1" applyFill="1" applyBorder="1" applyAlignment="1">
      <alignment horizontal="center" vertical="center" wrapText="1"/>
      <protection/>
    </xf>
    <xf numFmtId="3" fontId="44" fillId="12" borderId="3" xfId="15" applyNumberFormat="1" applyFont="1" applyFill="1" applyBorder="1">
      <alignment vertical="center" wrapText="1"/>
      <protection/>
    </xf>
    <xf numFmtId="1" fontId="46" fillId="0" borderId="27" xfId="31" applyNumberFormat="1" applyFont="1" applyBorder="1" applyAlignment="1">
      <alignment horizontal="center" vertical="center" wrapText="1"/>
      <protection/>
    </xf>
    <xf numFmtId="3" fontId="49" fillId="0" borderId="27" xfId="31" applyNumberFormat="1" applyFont="1" applyBorder="1" applyAlignment="1">
      <alignment vertical="center" wrapText="1"/>
      <protection/>
    </xf>
    <xf numFmtId="0" fontId="44" fillId="0" borderId="4" xfId="15" applyFont="1" applyFill="1" applyBorder="1" applyAlignment="1">
      <alignment horizontal="center" vertical="center" wrapText="1"/>
      <protection/>
    </xf>
    <xf numFmtId="1" fontId="47" fillId="0" borderId="169" xfId="31" applyNumberFormat="1" applyFont="1" applyBorder="1" applyAlignment="1">
      <alignment horizontal="center" vertical="center" wrapText="1"/>
      <protection/>
    </xf>
    <xf numFmtId="0" fontId="46" fillId="0" borderId="2" xfId="31" applyFont="1" applyBorder="1" applyAlignment="1" quotePrefix="1">
      <alignment horizontal="left" vertical="center" wrapText="1"/>
      <protection/>
    </xf>
    <xf numFmtId="1" fontId="46" fillId="0" borderId="39" xfId="31" applyNumberFormat="1" applyFont="1" applyBorder="1" applyAlignment="1" quotePrefix="1">
      <alignment horizontal="center" vertical="center" wrapText="1"/>
      <protection/>
    </xf>
    <xf numFmtId="3" fontId="46" fillId="0" borderId="39" xfId="31" applyNumberFormat="1" applyFont="1" applyBorder="1" applyAlignment="1">
      <alignment vertical="center" wrapText="1"/>
      <protection/>
    </xf>
    <xf numFmtId="3" fontId="49" fillId="0" borderId="39" xfId="31" applyNumberFormat="1" applyFont="1" applyBorder="1" applyAlignment="1">
      <alignment vertical="center" wrapText="1"/>
      <protection/>
    </xf>
    <xf numFmtId="0" fontId="37" fillId="0" borderId="0" xfId="23" applyFont="1">
      <alignment/>
      <protection/>
    </xf>
    <xf numFmtId="3" fontId="44" fillId="5" borderId="3" xfId="15" applyNumberFormat="1" applyFont="1" applyFill="1" applyBorder="1" applyAlignment="1">
      <alignment vertical="center" wrapText="1"/>
      <protection/>
    </xf>
    <xf numFmtId="0" fontId="44" fillId="12" borderId="3" xfId="15" applyFont="1" applyFill="1" applyBorder="1" applyAlignment="1" quotePrefix="1">
      <alignment horizontal="center" vertical="center" wrapText="1"/>
      <protection/>
    </xf>
    <xf numFmtId="0" fontId="44" fillId="12" borderId="1" xfId="15" applyFont="1" applyFill="1" applyBorder="1" applyAlignment="1" quotePrefix="1">
      <alignment horizontal="center" vertical="center" wrapText="1"/>
      <protection/>
    </xf>
    <xf numFmtId="1" fontId="47" fillId="0" borderId="77" xfId="31" applyNumberFormat="1" applyFont="1" applyBorder="1" applyAlignment="1">
      <alignment horizontal="center" vertical="center" textRotation="255" wrapText="1"/>
      <protection/>
    </xf>
    <xf numFmtId="0" fontId="46" fillId="0" borderId="77" xfId="31" applyFont="1" applyBorder="1" applyAlignment="1">
      <alignment horizontal="left" vertical="center" wrapText="1"/>
      <protection/>
    </xf>
    <xf numFmtId="3" fontId="46" fillId="0" borderId="27" xfId="31" applyNumberFormat="1" applyFont="1" applyBorder="1" applyAlignment="1">
      <alignment horizontal="right" vertical="center" wrapText="1"/>
      <protection/>
    </xf>
    <xf numFmtId="3" fontId="49" fillId="0" borderId="27" xfId="31" applyNumberFormat="1" applyFont="1" applyBorder="1" applyAlignment="1">
      <alignment horizontal="right" vertical="center" wrapText="1"/>
      <protection/>
    </xf>
    <xf numFmtId="1" fontId="47" fillId="0" borderId="0" xfId="31" applyNumberFormat="1" applyFont="1" applyBorder="1" applyAlignment="1">
      <alignment horizontal="center" vertical="center" textRotation="255" wrapText="1"/>
      <protection/>
    </xf>
    <xf numFmtId="0" fontId="46" fillId="0" borderId="128" xfId="31" applyFont="1" applyBorder="1" applyAlignment="1">
      <alignment horizontal="left" vertical="center" wrapText="1"/>
      <protection/>
    </xf>
    <xf numFmtId="0" fontId="46" fillId="0" borderId="0" xfId="31" applyFont="1" applyBorder="1" applyAlignment="1">
      <alignment horizontal="left" vertical="center" wrapText="1"/>
      <protection/>
    </xf>
    <xf numFmtId="0" fontId="46" fillId="0" borderId="0" xfId="31" applyFont="1" applyBorder="1">
      <alignment vertical="center" wrapText="1"/>
      <protection/>
    </xf>
    <xf numFmtId="3" fontId="46" fillId="0" borderId="27" xfId="31" applyNumberFormat="1" applyFont="1" applyBorder="1" applyAlignment="1" quotePrefix="1">
      <alignment horizontal="right" vertical="center" wrapText="1"/>
      <protection/>
    </xf>
    <xf numFmtId="0" fontId="46" fillId="0" borderId="175" xfId="31" applyFont="1" applyBorder="1">
      <alignment vertical="center" wrapText="1"/>
      <protection/>
    </xf>
    <xf numFmtId="1" fontId="47" fillId="0" borderId="176" xfId="31" applyNumberFormat="1" applyFont="1" applyBorder="1" applyAlignment="1">
      <alignment horizontal="center" vertical="center" wrapText="1"/>
      <protection/>
    </xf>
    <xf numFmtId="1" fontId="46" fillId="0" borderId="4" xfId="31" applyNumberFormat="1" applyFont="1" applyBorder="1" applyAlignment="1" quotePrefix="1">
      <alignment horizontal="center" vertical="center" wrapText="1"/>
      <protection/>
    </xf>
    <xf numFmtId="3" fontId="46" fillId="0" borderId="4" xfId="31" applyNumberFormat="1" applyFont="1" applyBorder="1" applyAlignment="1" quotePrefix="1">
      <alignment vertical="center" wrapText="1"/>
      <protection/>
    </xf>
    <xf numFmtId="3" fontId="46" fillId="0" borderId="4" xfId="31" applyNumberFormat="1" applyFont="1" applyBorder="1" applyAlignment="1">
      <alignment vertical="center" wrapText="1"/>
      <protection/>
    </xf>
    <xf numFmtId="0" fontId="44" fillId="12" borderId="12" xfId="15" applyFont="1" applyFill="1" applyBorder="1" applyAlignment="1">
      <alignment horizontal="center" vertical="center" wrapText="1"/>
      <protection/>
    </xf>
    <xf numFmtId="0" fontId="48" fillId="0" borderId="4" xfId="31" applyFont="1" applyBorder="1" applyAlignment="1">
      <alignment horizontal="left" vertical="center" wrapText="1"/>
      <protection/>
    </xf>
    <xf numFmtId="3" fontId="46" fillId="0" borderId="27" xfId="31" applyNumberFormat="1" applyFont="1" applyBorder="1" applyAlignment="1" quotePrefix="1">
      <alignment vertical="center" wrapText="1"/>
      <protection/>
    </xf>
    <xf numFmtId="1" fontId="47" fillId="0" borderId="174" xfId="31" applyNumberFormat="1" applyFont="1" applyBorder="1" applyAlignment="1">
      <alignment horizontal="center" vertical="center" wrapText="1"/>
      <protection/>
    </xf>
    <xf numFmtId="0" fontId="46" fillId="0" borderId="77" xfId="31" applyFont="1" applyBorder="1" applyAlignment="1">
      <alignment horizontal="left" vertical="center" wrapText="1"/>
      <protection/>
    </xf>
    <xf numFmtId="0" fontId="46" fillId="0" borderId="27" xfId="31" applyFont="1" applyBorder="1" applyAlignment="1" quotePrefix="1">
      <alignment horizontal="center" vertical="center" wrapText="1"/>
      <protection/>
    </xf>
    <xf numFmtId="0" fontId="46" fillId="0" borderId="27" xfId="31" applyFont="1" applyBorder="1" applyAlignment="1">
      <alignment horizontal="right" vertical="center" wrapText="1"/>
      <protection/>
    </xf>
    <xf numFmtId="0" fontId="46" fillId="0" borderId="27" xfId="31" applyFont="1" applyBorder="1" applyAlignment="1">
      <alignment horizontal="left" vertical="center" wrapText="1"/>
      <protection/>
    </xf>
    <xf numFmtId="0" fontId="46" fillId="0" borderId="0" xfId="23" applyFont="1" applyFill="1" applyBorder="1" applyAlignment="1">
      <alignment horizontal="left" vertical="center"/>
      <protection/>
    </xf>
    <xf numFmtId="0" fontId="46" fillId="0" borderId="0" xfId="23" applyFont="1" applyFill="1" applyBorder="1">
      <alignment/>
      <protection/>
    </xf>
    <xf numFmtId="0" fontId="46" fillId="0" borderId="0" xfId="23" applyFont="1" applyBorder="1">
      <alignment/>
      <protection/>
    </xf>
    <xf numFmtId="0" fontId="49" fillId="0" borderId="0" xfId="23" applyFont="1" applyFill="1" applyAlignment="1" applyProtection="1">
      <alignment horizontal="left" vertical="center"/>
      <protection/>
    </xf>
    <xf numFmtId="0" fontId="49" fillId="0" borderId="0" xfId="23" applyFont="1" applyFill="1" applyProtection="1">
      <alignment/>
      <protection/>
    </xf>
    <xf numFmtId="0" fontId="49" fillId="0" borderId="0" xfId="23" applyFont="1" applyProtection="1">
      <alignment/>
      <protection/>
    </xf>
    <xf numFmtId="0" fontId="46" fillId="0" borderId="11" xfId="31" applyFont="1" applyBorder="1" applyAlignment="1">
      <alignment horizontal="center" vertical="center" wrapText="1"/>
      <protection/>
    </xf>
    <xf numFmtId="3" fontId="46" fillId="0" borderId="11" xfId="31" applyNumberFormat="1" applyFont="1" applyBorder="1" applyAlignment="1">
      <alignment horizontal="right" vertical="center" wrapText="1"/>
      <protection/>
    </xf>
    <xf numFmtId="0" fontId="46" fillId="0" borderId="11" xfId="31" applyFont="1" applyBorder="1" applyAlignment="1">
      <alignment horizontal="left" vertical="center" wrapText="1"/>
      <protection/>
    </xf>
    <xf numFmtId="0" fontId="46" fillId="0" borderId="0" xfId="23" applyFont="1" applyFill="1" applyAlignment="1" applyProtection="1">
      <alignment horizontal="left" vertical="center"/>
      <protection/>
    </xf>
    <xf numFmtId="0" fontId="46" fillId="0" borderId="0" xfId="23" applyFont="1" applyFill="1" applyProtection="1">
      <alignment/>
      <protection/>
    </xf>
    <xf numFmtId="0" fontId="46" fillId="0" borderId="0" xfId="23" applyFont="1" applyProtection="1">
      <alignment/>
      <protection/>
    </xf>
    <xf numFmtId="1" fontId="46" fillId="0" borderId="4" xfId="31" applyNumberFormat="1" applyFont="1" applyBorder="1" applyAlignment="1">
      <alignment horizontal="center" vertical="center" wrapText="1"/>
      <protection/>
    </xf>
    <xf numFmtId="0" fontId="46" fillId="0" borderId="27" xfId="31" applyFont="1" applyBorder="1" applyAlignment="1">
      <alignment horizontal="center" vertical="center" wrapText="1"/>
      <protection/>
    </xf>
    <xf numFmtId="0" fontId="46" fillId="0" borderId="27" xfId="31" applyFont="1" applyBorder="1" applyAlignment="1">
      <alignment horizontal="right" vertical="center" wrapText="1"/>
      <protection/>
    </xf>
    <xf numFmtId="0" fontId="46" fillId="0" borderId="27" xfId="31" applyFont="1" applyBorder="1" applyAlignment="1">
      <alignment horizontal="left" vertical="center" wrapText="1"/>
      <protection/>
    </xf>
    <xf numFmtId="0" fontId="44" fillId="0" borderId="0" xfId="23" applyFont="1" applyProtection="1">
      <alignment/>
      <protection/>
    </xf>
    <xf numFmtId="0" fontId="37" fillId="0" borderId="0" xfId="23" applyFont="1" applyFill="1" applyAlignment="1">
      <alignment vertical="center"/>
      <protection/>
    </xf>
    <xf numFmtId="1" fontId="53" fillId="0" borderId="171" xfId="31" applyNumberFormat="1" applyFont="1" applyBorder="1" applyAlignment="1">
      <alignment horizontal="center" vertical="center" wrapText="1"/>
      <protection/>
    </xf>
    <xf numFmtId="0" fontId="46" fillId="0" borderId="177" xfId="31" applyFont="1" applyBorder="1" applyAlignment="1">
      <alignment horizontal="left" vertical="center" wrapText="1"/>
      <protection/>
    </xf>
    <xf numFmtId="1" fontId="54" fillId="0" borderId="173" xfId="31" applyNumberFormat="1" applyFont="1" applyBorder="1" applyAlignment="1">
      <alignment horizontal="center" vertical="center" wrapText="1"/>
      <protection/>
    </xf>
    <xf numFmtId="3" fontId="54" fillId="0" borderId="173" xfId="31" applyNumberFormat="1" applyFont="1" applyBorder="1" applyAlignment="1">
      <alignment vertical="center" wrapText="1"/>
      <protection/>
    </xf>
    <xf numFmtId="0" fontId="1" fillId="0" borderId="0" xfId="23" applyFont="1" applyFill="1" applyBorder="1" applyAlignment="1" applyProtection="1">
      <alignment horizontal="left" vertical="center"/>
      <protection/>
    </xf>
    <xf numFmtId="0" fontId="1" fillId="0" borderId="0" xfId="23" applyFont="1" applyFill="1" applyBorder="1" applyProtection="1">
      <alignment/>
      <protection/>
    </xf>
    <xf numFmtId="0" fontId="1" fillId="0" borderId="0" xfId="23" applyFont="1" applyBorder="1" applyProtection="1">
      <alignment/>
      <protection/>
    </xf>
    <xf numFmtId="0" fontId="3" fillId="0" borderId="0" xfId="23" applyBorder="1">
      <alignment/>
      <protection/>
    </xf>
    <xf numFmtId="0" fontId="46" fillId="0" borderId="178" xfId="31" applyFont="1" applyBorder="1" applyAlignment="1">
      <alignment horizontal="left" vertical="center" wrapText="1"/>
      <protection/>
    </xf>
    <xf numFmtId="1" fontId="54" fillId="0" borderId="129" xfId="31" applyNumberFormat="1" applyFont="1" applyBorder="1" applyAlignment="1">
      <alignment horizontal="center" vertical="center" wrapText="1"/>
      <protection/>
    </xf>
    <xf numFmtId="3" fontId="54" fillId="0" borderId="129" xfId="31" applyNumberFormat="1" applyFont="1" applyBorder="1" applyAlignment="1">
      <alignment vertical="center" wrapText="1"/>
      <protection/>
    </xf>
    <xf numFmtId="1" fontId="53" fillId="0" borderId="14" xfId="31" applyNumberFormat="1" applyFont="1" applyBorder="1" applyAlignment="1">
      <alignment horizontal="center" vertical="center" wrapText="1"/>
      <protection/>
    </xf>
    <xf numFmtId="0" fontId="55" fillId="0" borderId="0" xfId="23" applyFont="1" applyBorder="1" applyAlignment="1" applyProtection="1">
      <alignment horizontal="center" vertical="center"/>
      <protection/>
    </xf>
    <xf numFmtId="0" fontId="54" fillId="0" borderId="0" xfId="31" applyFont="1" applyBorder="1">
      <alignment vertical="center" wrapText="1"/>
      <protection/>
    </xf>
    <xf numFmtId="1" fontId="54" fillId="0" borderId="0" xfId="31" applyNumberFormat="1" applyFont="1" applyBorder="1" applyAlignment="1">
      <alignment horizontal="center" vertical="center" wrapText="1"/>
      <protection/>
    </xf>
    <xf numFmtId="3" fontId="54" fillId="0" borderId="0" xfId="31" applyNumberFormat="1" applyFont="1" applyBorder="1" applyAlignment="1">
      <alignment vertical="center" wrapText="1"/>
      <protection/>
    </xf>
    <xf numFmtId="0" fontId="1" fillId="0" borderId="0" xfId="23" applyFont="1" applyFill="1" applyAlignment="1" applyProtection="1">
      <alignment horizontal="left" vertical="center"/>
      <protection/>
    </xf>
    <xf numFmtId="0" fontId="1" fillId="0" borderId="0" xfId="23" applyFont="1" applyFill="1" applyProtection="1">
      <alignment/>
      <protection/>
    </xf>
    <xf numFmtId="0" fontId="1" fillId="0" borderId="0" xfId="23" applyFont="1" applyProtection="1">
      <alignment/>
      <protection/>
    </xf>
    <xf numFmtId="1" fontId="42" fillId="0" borderId="0" xfId="23" applyNumberFormat="1" applyFont="1" applyBorder="1" applyAlignment="1" applyProtection="1">
      <alignment horizontal="center" vertical="center" wrapText="1"/>
      <protection/>
    </xf>
    <xf numFmtId="0" fontId="37" fillId="0" borderId="0" xfId="23" applyFont="1" applyFill="1" applyAlignment="1">
      <alignment horizontal="left" vertical="center" wrapText="1"/>
      <protection/>
    </xf>
    <xf numFmtId="0" fontId="37" fillId="0" borderId="0" xfId="23" applyFont="1" applyFill="1" applyAlignment="1">
      <alignment wrapText="1"/>
      <protection/>
    </xf>
    <xf numFmtId="0" fontId="37" fillId="13" borderId="0" xfId="23" applyFont="1" applyFill="1" applyAlignment="1">
      <alignment wrapText="1"/>
      <protection/>
    </xf>
    <xf numFmtId="0" fontId="37" fillId="13" borderId="0" xfId="23" applyFont="1" applyFill="1">
      <alignment/>
      <protection/>
    </xf>
    <xf numFmtId="0" fontId="64" fillId="0" borderId="0" xfId="23" applyFont="1" applyFill="1" applyAlignment="1">
      <alignment horizontal="left" vertical="center"/>
      <protection/>
    </xf>
    <xf numFmtId="0" fontId="64" fillId="0" borderId="0" xfId="23" applyFont="1" applyFill="1">
      <alignment/>
      <protection/>
    </xf>
    <xf numFmtId="0" fontId="64" fillId="0" borderId="0" xfId="23" applyFont="1">
      <alignment/>
      <protection/>
    </xf>
    <xf numFmtId="0" fontId="54" fillId="0" borderId="0" xfId="23" applyFont="1" applyFill="1" applyAlignment="1">
      <alignment horizontal="left" vertical="center"/>
      <protection/>
    </xf>
    <xf numFmtId="0" fontId="54" fillId="0" borderId="0" xfId="23" applyFont="1" applyFill="1" applyAlignment="1">
      <alignment vertical="center"/>
      <protection/>
    </xf>
    <xf numFmtId="0" fontId="55" fillId="0" borderId="0" xfId="23" applyFont="1" applyBorder="1" applyAlignment="1" applyProtection="1">
      <alignment horizontal="center" vertical="center" wrapText="1"/>
      <protection/>
    </xf>
    <xf numFmtId="0" fontId="3" fillId="0" borderId="0" xfId="23" applyBorder="1" applyAlignment="1" applyProtection="1">
      <alignment horizontal="center" vertical="center" wrapText="1"/>
      <protection/>
    </xf>
    <xf numFmtId="1" fontId="3" fillId="0" borderId="0" xfId="23" applyNumberFormat="1" applyBorder="1" applyAlignment="1" applyProtection="1">
      <alignment horizontal="center" vertical="center" wrapText="1"/>
      <protection/>
    </xf>
    <xf numFmtId="3" fontId="3" fillId="0" borderId="0" xfId="23" applyNumberFormat="1" applyBorder="1" applyAlignment="1">
      <alignment vertical="center" wrapText="1"/>
      <protection/>
    </xf>
    <xf numFmtId="3" fontId="3" fillId="0" borderId="0" xfId="23" applyNumberFormat="1" applyFont="1" applyBorder="1" applyAlignment="1">
      <alignment vertical="center" wrapText="1"/>
      <protection/>
    </xf>
    <xf numFmtId="0" fontId="3" fillId="0" borderId="0" xfId="23" applyBorder="1" applyAlignment="1" applyProtection="1">
      <alignment horizontal="center" vertical="center"/>
      <protection/>
    </xf>
    <xf numFmtId="0" fontId="3" fillId="0" borderId="0" xfId="23" applyBorder="1" applyProtection="1">
      <alignment/>
      <protection/>
    </xf>
    <xf numFmtId="1" fontId="3" fillId="0" borderId="0" xfId="23" applyNumberFormat="1" applyBorder="1" applyAlignment="1" applyProtection="1">
      <alignment horizontal="center"/>
      <protection/>
    </xf>
    <xf numFmtId="3" fontId="3" fillId="0" borderId="0" xfId="23" applyNumberFormat="1" applyBorder="1" applyAlignment="1">
      <alignment vertical="center"/>
      <protection/>
    </xf>
    <xf numFmtId="3" fontId="3" fillId="0" borderId="0" xfId="23" applyNumberFormat="1" applyFont="1" applyBorder="1" applyAlignment="1">
      <alignment vertical="center"/>
      <protection/>
    </xf>
    <xf numFmtId="0" fontId="55" fillId="0" borderId="4" xfId="23" applyFont="1" applyBorder="1" applyAlignment="1" applyProtection="1">
      <alignment horizontal="center" vertical="center"/>
      <protection/>
    </xf>
    <xf numFmtId="0" fontId="3" fillId="0" borderId="4" xfId="23" applyBorder="1" applyAlignment="1" applyProtection="1">
      <alignment horizontal="center" vertical="center"/>
      <protection/>
    </xf>
    <xf numFmtId="1" fontId="42" fillId="0" borderId="0" xfId="23" applyNumberFormat="1" applyFont="1" applyAlignment="1" applyProtection="1">
      <alignment horizontal="center" vertical="center" wrapText="1"/>
      <protection/>
    </xf>
    <xf numFmtId="0" fontId="3" fillId="0" borderId="0" xfId="23" applyProtection="1">
      <alignment/>
      <protection/>
    </xf>
    <xf numFmtId="1" fontId="3" fillId="0" borderId="4" xfId="23" applyNumberFormat="1" applyBorder="1" applyAlignment="1" applyProtection="1">
      <alignment horizontal="center"/>
      <protection/>
    </xf>
    <xf numFmtId="3" fontId="3" fillId="0" borderId="4" xfId="23" applyNumberFormat="1" applyBorder="1" applyAlignment="1">
      <alignment vertical="center"/>
      <protection/>
    </xf>
    <xf numFmtId="3" fontId="3" fillId="0" borderId="4" xfId="23" applyNumberFormat="1" applyFont="1" applyBorder="1" applyAlignment="1">
      <alignment vertical="center"/>
      <protection/>
    </xf>
    <xf numFmtId="164" fontId="38" fillId="0" borderId="11" xfId="0" applyNumberFormat="1" applyFont="1" applyBorder="1" applyAlignment="1" applyProtection="1">
      <alignment horizontal="center" vertical="center"/>
      <protection/>
    </xf>
    <xf numFmtId="1" fontId="39" fillId="0" borderId="140" xfId="0" applyNumberFormat="1" applyFont="1" applyBorder="1" applyAlignment="1" applyProtection="1">
      <alignment horizontal="center" vertical="center" wrapText="1"/>
      <protection/>
    </xf>
    <xf numFmtId="3" fontId="38" fillId="0" borderId="11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 applyProtection="1">
      <alignment horizontal="center" vertical="center" wrapText="1"/>
      <protection/>
    </xf>
    <xf numFmtId="3" fontId="38" fillId="0" borderId="11" xfId="0" applyNumberFormat="1" applyFont="1" applyBorder="1" applyAlignment="1" applyProtection="1">
      <alignment horizontal="centerContinuous" vertical="center" wrapText="1"/>
      <protection/>
    </xf>
    <xf numFmtId="164" fontId="38" fillId="0" borderId="12" xfId="0" applyNumberFormat="1" applyFont="1" applyBorder="1" applyAlignment="1" applyProtection="1">
      <alignment horizontal="center" vertical="center"/>
      <protection/>
    </xf>
    <xf numFmtId="1" fontId="39" fillId="0" borderId="5" xfId="0" applyNumberFormat="1" applyFont="1" applyBorder="1" applyAlignment="1" applyProtection="1">
      <alignment horizontal="center" vertical="center" wrapText="1"/>
      <protection/>
    </xf>
    <xf numFmtId="3" fontId="38" fillId="0" borderId="12" xfId="0" applyNumberFormat="1" applyFont="1" applyBorder="1" applyAlignment="1" quotePrefix="1">
      <alignment horizontal="center" vertical="center" wrapText="1"/>
    </xf>
    <xf numFmtId="3" fontId="41" fillId="0" borderId="12" xfId="0" applyNumberFormat="1" applyFont="1" applyBorder="1" applyAlignment="1" applyProtection="1" quotePrefix="1">
      <alignment horizontal="center" vertical="center" wrapText="1"/>
      <protection/>
    </xf>
    <xf numFmtId="3" fontId="43" fillId="0" borderId="3" xfId="0" applyNumberFormat="1" applyFont="1" applyBorder="1" applyAlignment="1" applyProtection="1">
      <alignment horizontal="center" vertical="center" wrapText="1"/>
      <protection/>
    </xf>
    <xf numFmtId="0" fontId="46" fillId="0" borderId="4" xfId="0" applyFont="1" applyBorder="1" applyAlignment="1" applyProtection="1">
      <alignment horizontal="center" vertical="center"/>
      <protection/>
    </xf>
    <xf numFmtId="164" fontId="49" fillId="0" borderId="4" xfId="0" applyNumberFormat="1" applyFont="1" applyBorder="1" applyAlignment="1" applyProtection="1">
      <alignment horizontal="center" vertical="center"/>
      <protection/>
    </xf>
    <xf numFmtId="0" fontId="46" fillId="0" borderId="4" xfId="0" applyFont="1" applyBorder="1" applyAlignment="1" applyProtection="1">
      <alignment horizontal="center" vertical="center" wrapText="1"/>
      <protection/>
    </xf>
    <xf numFmtId="0" fontId="46" fillId="0" borderId="27" xfId="0" applyFont="1" applyBorder="1" applyAlignment="1" quotePrefix="1">
      <alignment horizontal="center" vertical="center" wrapText="1"/>
    </xf>
    <xf numFmtId="3" fontId="46" fillId="0" borderId="27" xfId="0" applyNumberFormat="1" applyFont="1" applyBorder="1" applyAlignment="1">
      <alignment horizontal="righ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75" xfId="0" applyFont="1" applyBorder="1" applyAlignment="1">
      <alignment horizontal="left" vertical="center" wrapText="1"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4" xfId="0" applyNumberFormat="1" applyFont="1" applyBorder="1" applyAlignment="1" applyProtection="1">
      <alignment horizontal="center" vertical="center"/>
      <protection/>
    </xf>
    <xf numFmtId="164" fontId="46" fillId="0" borderId="4" xfId="0" applyNumberFormat="1" applyFont="1" applyBorder="1" applyAlignment="1" applyProtection="1">
      <alignment horizontal="center" vertical="center"/>
      <protection/>
    </xf>
    <xf numFmtId="0" fontId="37" fillId="0" borderId="4" xfId="0" applyFont="1" applyBorder="1" applyAlignment="1" applyProtection="1">
      <alignment horizontal="center" vertical="center"/>
      <protection/>
    </xf>
    <xf numFmtId="0" fontId="37" fillId="0" borderId="14" xfId="0" applyFont="1" applyBorder="1" applyAlignment="1" applyProtection="1">
      <alignment horizontal="center" vertical="center"/>
      <protection/>
    </xf>
    <xf numFmtId="1" fontId="42" fillId="0" borderId="8" xfId="0" applyNumberFormat="1" applyFont="1" applyBorder="1" applyAlignment="1" applyProtection="1">
      <alignment horizontal="center" vertical="center" wrapText="1"/>
      <protection/>
    </xf>
    <xf numFmtId="164" fontId="50" fillId="11" borderId="179" xfId="0" applyNumberFormat="1" applyFont="1" applyFill="1" applyBorder="1" applyAlignment="1" applyProtection="1">
      <alignment horizontal="center" vertical="center"/>
      <protection/>
    </xf>
    <xf numFmtId="1" fontId="50" fillId="11" borderId="179" xfId="0" applyNumberFormat="1" applyFont="1" applyFill="1" applyBorder="1" applyAlignment="1" applyProtection="1">
      <alignment horizontal="center" vertical="center" wrapText="1"/>
      <protection/>
    </xf>
    <xf numFmtId="3" fontId="50" fillId="11" borderId="179" xfId="0" applyNumberFormat="1" applyFont="1" applyFill="1" applyBorder="1" applyAlignment="1" applyProtection="1">
      <alignment horizontal="center" vertical="center" wrapText="1"/>
      <protection/>
    </xf>
    <xf numFmtId="0" fontId="37" fillId="0" borderId="4" xfId="0" applyFont="1" applyFill="1" applyBorder="1" applyAlignment="1" applyProtection="1">
      <alignment horizontal="center" vertical="center"/>
      <protection/>
    </xf>
    <xf numFmtId="0" fontId="38" fillId="14" borderId="3" xfId="0" applyFont="1" applyFill="1" applyBorder="1" applyAlignment="1" applyProtection="1">
      <alignment horizontal="center" vertical="center"/>
      <protection/>
    </xf>
    <xf numFmtId="0" fontId="51" fillId="14" borderId="13" xfId="0" applyFont="1" applyFill="1" applyBorder="1" applyAlignment="1" applyProtection="1">
      <alignment horizontal="center" vertical="center"/>
      <protection/>
    </xf>
    <xf numFmtId="164" fontId="40" fillId="14" borderId="64" xfId="0" applyNumberFormat="1" applyFont="1" applyFill="1" applyBorder="1" applyAlignment="1" applyProtection="1">
      <alignment horizontal="center" vertical="center"/>
      <protection/>
    </xf>
    <xf numFmtId="1" fontId="49" fillId="14" borderId="3" xfId="0" applyNumberFormat="1" applyFont="1" applyFill="1" applyBorder="1" applyAlignment="1" applyProtection="1">
      <alignment horizontal="right" vertical="center"/>
      <protection/>
    </xf>
    <xf numFmtId="3" fontId="49" fillId="14" borderId="3" xfId="0" applyNumberFormat="1" applyFont="1" applyFill="1" applyBorder="1" applyAlignment="1" applyProtection="1">
      <alignment horizontal="right" vertical="center"/>
      <protection/>
    </xf>
    <xf numFmtId="164" fontId="52" fillId="0" borderId="4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" fontId="42" fillId="0" borderId="0" xfId="0" applyNumberFormat="1" applyFont="1" applyBorder="1" applyAlignment="1" applyProtection="1">
      <alignment horizontal="center" vertical="center" wrapText="1"/>
      <protection/>
    </xf>
    <xf numFmtId="164" fontId="56" fillId="11" borderId="180" xfId="0" applyNumberFormat="1" applyFont="1" applyFill="1" applyBorder="1" applyAlignment="1" applyProtection="1">
      <alignment horizontal="center" vertical="center"/>
      <protection/>
    </xf>
    <xf numFmtId="1" fontId="57" fillId="11" borderId="180" xfId="0" applyNumberFormat="1" applyFont="1" applyFill="1" applyBorder="1" applyAlignment="1" applyProtection="1">
      <alignment horizontal="center" vertical="center" wrapText="1"/>
      <protection/>
    </xf>
    <xf numFmtId="3" fontId="50" fillId="11" borderId="180" xfId="0" applyNumberFormat="1" applyFont="1" applyFill="1" applyBorder="1" applyAlignment="1" applyProtection="1">
      <alignment horizontal="center" vertical="center" wrapText="1"/>
      <protection/>
    </xf>
    <xf numFmtId="3" fontId="58" fillId="11" borderId="180" xfId="0" applyNumberFormat="1" applyFont="1" applyFill="1" applyBorder="1" applyAlignment="1" applyProtection="1">
      <alignment horizontal="center" vertical="center" wrapText="1"/>
      <protection/>
    </xf>
    <xf numFmtId="164" fontId="44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42" fillId="0" borderId="0" xfId="0" applyNumberFormat="1" applyFont="1" applyFill="1" applyBorder="1" applyAlignment="1" applyProtection="1">
      <alignment horizontal="center" vertical="center" wrapText="1"/>
      <protection/>
    </xf>
    <xf numFmtId="164" fontId="56" fillId="0" borderId="0" xfId="0" applyNumberFormat="1" applyFont="1" applyFill="1" applyBorder="1" applyAlignment="1" applyProtection="1">
      <alignment horizontal="center" vertical="center"/>
      <protection/>
    </xf>
    <xf numFmtId="1" fontId="57" fillId="0" borderId="0" xfId="0" applyNumberFormat="1" applyFont="1" applyFill="1" applyBorder="1" applyAlignment="1" applyProtection="1">
      <alignment horizontal="center" vertical="center" wrapText="1"/>
      <protection/>
    </xf>
    <xf numFmtId="3" fontId="50" fillId="0" borderId="0" xfId="0" applyNumberFormat="1" applyFont="1" applyFill="1" applyBorder="1" applyAlignment="1" applyProtection="1">
      <alignment horizontal="center" vertical="center" wrapText="1"/>
      <protection/>
    </xf>
    <xf numFmtId="3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centerContinuous" vertical="center" wrapText="1"/>
      <protection/>
    </xf>
    <xf numFmtId="1" fontId="42" fillId="0" borderId="0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>
      <alignment horizontal="centerContinuous" vertical="center" wrapText="1"/>
    </xf>
    <xf numFmtId="1" fontId="0" fillId="0" borderId="0" xfId="0" applyNumberFormat="1" applyBorder="1" applyAlignment="1">
      <alignment horizontal="center" vertical="center" wrapText="1"/>
    </xf>
    <xf numFmtId="3" fontId="59" fillId="0" borderId="0" xfId="0" applyNumberFormat="1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/>
    </xf>
    <xf numFmtId="3" fontId="60" fillId="0" borderId="0" xfId="0" applyNumberFormat="1" applyFont="1" applyBorder="1" applyAlignment="1">
      <alignment horizontal="left" vertical="center" wrapText="1"/>
    </xf>
    <xf numFmtId="164" fontId="39" fillId="0" borderId="11" xfId="0" applyNumberFormat="1" applyFont="1" applyBorder="1" applyAlignment="1" applyProtection="1">
      <alignment horizontal="center" vertical="center"/>
      <protection/>
    </xf>
    <xf numFmtId="164" fontId="61" fillId="0" borderId="11" xfId="0" applyNumberFormat="1" applyFont="1" applyBorder="1" applyAlignment="1" applyProtection="1">
      <alignment horizontal="center" vertical="center"/>
      <protection/>
    </xf>
    <xf numFmtId="164" fontId="38" fillId="0" borderId="68" xfId="0" applyNumberFormat="1" applyFont="1" applyBorder="1" applyAlignment="1" applyProtection="1">
      <alignment horizontal="center" vertical="center"/>
      <protection/>
    </xf>
    <xf numFmtId="1" fontId="62" fillId="0" borderId="11" xfId="0" applyNumberFormat="1" applyFont="1" applyBorder="1" applyAlignment="1" applyProtection="1">
      <alignment horizontal="center" vertical="center" wrapText="1"/>
      <protection/>
    </xf>
    <xf numFmtId="164" fontId="39" fillId="0" borderId="12" xfId="0" applyNumberFormat="1" applyFont="1" applyBorder="1" applyAlignment="1" applyProtection="1">
      <alignment horizontal="center" vertical="center"/>
      <protection/>
    </xf>
    <xf numFmtId="164" fontId="38" fillId="0" borderId="5" xfId="0" applyNumberFormat="1" applyFont="1" applyBorder="1" applyAlignment="1" applyProtection="1">
      <alignment horizontal="center" vertical="center"/>
      <protection/>
    </xf>
    <xf numFmtId="1" fontId="63" fillId="0" borderId="12" xfId="0" applyNumberFormat="1" applyFont="1" applyBorder="1" applyAlignment="1" applyProtection="1">
      <alignment horizontal="center" vertical="center" wrapText="1"/>
      <protection/>
    </xf>
    <xf numFmtId="3" fontId="38" fillId="0" borderId="12" xfId="0" applyNumberFormat="1" applyFont="1" applyBorder="1" applyAlignment="1">
      <alignment horizontal="center" vertical="center" wrapText="1"/>
    </xf>
    <xf numFmtId="3" fontId="41" fillId="0" borderId="12" xfId="0" applyNumberFormat="1" applyFont="1" applyBorder="1" applyAlignment="1" applyProtection="1">
      <alignment horizontal="center" vertical="center" wrapText="1"/>
      <protection/>
    </xf>
    <xf numFmtId="3" fontId="44" fillId="4" borderId="3" xfId="0" applyNumberFormat="1" applyFont="1" applyFill="1" applyBorder="1" applyAlignment="1" applyProtection="1">
      <alignment horizontal="center" vertical="center" wrapText="1"/>
      <protection/>
    </xf>
    <xf numFmtId="1" fontId="45" fillId="4" borderId="13" xfId="0" applyNumberFormat="1" applyFont="1" applyFill="1" applyBorder="1" applyAlignment="1" applyProtection="1">
      <alignment horizontal="center" vertical="center" wrapText="1"/>
      <protection/>
    </xf>
    <xf numFmtId="164" fontId="44" fillId="4" borderId="64" xfId="0" applyNumberFormat="1" applyFont="1" applyFill="1" applyBorder="1" applyAlignment="1" applyProtection="1">
      <alignment horizontal="center" vertical="center" wrapText="1"/>
      <protection/>
    </xf>
    <xf numFmtId="1" fontId="44" fillId="4" borderId="3" xfId="0" applyNumberFormat="1" applyFont="1" applyFill="1" applyBorder="1" applyAlignment="1" applyProtection="1">
      <alignment horizontal="center" vertical="center" wrapText="1"/>
      <protection/>
    </xf>
    <xf numFmtId="164" fontId="44" fillId="4" borderId="3" xfId="0" applyNumberFormat="1" applyFont="1" applyFill="1" applyBorder="1" applyAlignment="1" applyProtection="1">
      <alignment horizontal="center" vertical="center" wrapText="1"/>
      <protection/>
    </xf>
    <xf numFmtId="3" fontId="44" fillId="0" borderId="3" xfId="0" applyNumberFormat="1" applyFont="1" applyFill="1" applyBorder="1" applyAlignment="1" applyProtection="1">
      <alignment horizontal="center" vertical="center"/>
      <protection/>
    </xf>
    <xf numFmtId="1" fontId="45" fillId="0" borderId="13" xfId="0" applyNumberFormat="1" applyFont="1" applyFill="1" applyBorder="1" applyAlignment="1" applyProtection="1">
      <alignment horizontal="center" vertical="center" wrapText="1"/>
      <protection/>
    </xf>
    <xf numFmtId="164" fontId="44" fillId="0" borderId="64" xfId="0" applyNumberFormat="1" applyFont="1" applyFill="1" applyBorder="1" applyAlignment="1" applyProtection="1">
      <alignment horizontal="center" vertical="center"/>
      <protection/>
    </xf>
    <xf numFmtId="1" fontId="44" fillId="0" borderId="3" xfId="0" applyNumberFormat="1" applyFont="1" applyFill="1" applyBorder="1" applyAlignment="1" applyProtection="1">
      <alignment horizontal="center" vertical="center"/>
      <protection/>
    </xf>
    <xf numFmtId="164" fontId="44" fillId="0" borderId="3" xfId="0" applyNumberFormat="1" applyFont="1" applyFill="1" applyBorder="1" applyAlignment="1" applyProtection="1">
      <alignment horizontal="center" vertical="center"/>
      <protection/>
    </xf>
    <xf numFmtId="3" fontId="44" fillId="4" borderId="3" xfId="0" applyNumberFormat="1" applyFont="1" applyFill="1" applyBorder="1" applyAlignment="1" applyProtection="1">
      <alignment horizontal="center" vertical="center"/>
      <protection/>
    </xf>
    <xf numFmtId="164" fontId="44" fillId="4" borderId="64" xfId="0" applyNumberFormat="1" applyFont="1" applyFill="1" applyBorder="1" applyAlignment="1" applyProtection="1">
      <alignment horizontal="center" vertical="center"/>
      <protection/>
    </xf>
    <xf numFmtId="1" fontId="44" fillId="4" borderId="3" xfId="0" applyNumberFormat="1" applyFont="1" applyFill="1" applyBorder="1" applyAlignment="1" applyProtection="1">
      <alignment horizontal="center" vertical="center"/>
      <protection/>
    </xf>
    <xf numFmtId="164" fontId="44" fillId="4" borderId="3" xfId="0" applyNumberFormat="1" applyFont="1" applyFill="1" applyBorder="1" applyAlignment="1" applyProtection="1">
      <alignment horizontal="center" vertical="center"/>
      <protection/>
    </xf>
    <xf numFmtId="3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8" xfId="0" applyFont="1" applyFill="1" applyBorder="1" applyAlignment="1">
      <alignment horizontal="center" vertical="center" wrapText="1"/>
    </xf>
    <xf numFmtId="1" fontId="42" fillId="0" borderId="140" xfId="0" applyNumberFormat="1" applyFont="1" applyFill="1" applyBorder="1" applyAlignment="1" applyProtection="1">
      <alignment horizontal="center" vertical="center" wrapText="1"/>
      <protection/>
    </xf>
    <xf numFmtId="0" fontId="44" fillId="0" borderId="68" xfId="0" applyFont="1" applyFill="1" applyBorder="1" applyAlignment="1" applyProtection="1">
      <alignment horizontal="center" vertical="center" wrapText="1"/>
      <protection/>
    </xf>
    <xf numFmtId="1" fontId="44" fillId="0" borderId="11" xfId="0" applyNumberFormat="1" applyFont="1" applyFill="1" applyBorder="1" applyAlignment="1" applyProtection="1">
      <alignment horizontal="center" vertical="center" wrapText="1"/>
      <protection/>
    </xf>
    <xf numFmtId="164" fontId="44" fillId="0" borderId="64" xfId="0" applyNumberFormat="1" applyFont="1" applyFill="1" applyBorder="1" applyAlignment="1" applyProtection="1">
      <alignment horizontal="center" vertical="center" wrapText="1"/>
      <protection/>
    </xf>
    <xf numFmtId="3" fontId="44" fillId="0" borderId="3" xfId="0" applyNumberFormat="1" applyFont="1" applyFill="1" applyBorder="1" applyAlignment="1" applyProtection="1">
      <alignment horizontal="center" vertical="center" wrapText="1"/>
      <protection/>
    </xf>
    <xf numFmtId="3" fontId="44" fillId="0" borderId="64" xfId="0" applyNumberFormat="1" applyFont="1" applyFill="1" applyBorder="1" applyAlignment="1" applyProtection="1">
      <alignment horizontal="center" vertical="center" wrapText="1"/>
      <protection/>
    </xf>
    <xf numFmtId="1" fontId="44" fillId="0" borderId="3" xfId="0" applyNumberFormat="1" applyFont="1" applyFill="1" applyBorder="1" applyAlignment="1" applyProtection="1">
      <alignment horizontal="center" vertical="center" wrapText="1"/>
      <protection/>
    </xf>
    <xf numFmtId="0" fontId="64" fillId="0" borderId="14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1" fontId="65" fillId="11" borderId="181" xfId="0" applyNumberFormat="1" applyFont="1" applyFill="1" applyBorder="1" applyAlignment="1" applyProtection="1">
      <alignment horizontal="center" vertical="center" wrapText="1"/>
      <protection/>
    </xf>
    <xf numFmtId="164" fontId="56" fillId="11" borderId="182" xfId="0" applyNumberFormat="1" applyFont="1" applyFill="1" applyBorder="1" applyAlignment="1" applyProtection="1">
      <alignment horizontal="center" vertical="center"/>
      <protection/>
    </xf>
    <xf numFmtId="1" fontId="66" fillId="11" borderId="183" xfId="0" applyNumberFormat="1" applyFont="1" applyFill="1" applyBorder="1" applyAlignment="1" applyProtection="1">
      <alignment horizontal="center" vertical="center"/>
      <protection/>
    </xf>
    <xf numFmtId="164" fontId="50" fillId="11" borderId="183" xfId="0" applyNumberFormat="1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67" fillId="14" borderId="13" xfId="0" applyFont="1" applyFill="1" applyBorder="1" applyAlignment="1" applyProtection="1">
      <alignment horizontal="center" vertical="center"/>
      <protection/>
    </xf>
    <xf numFmtId="3" fontId="49" fillId="14" borderId="3" xfId="0" applyNumberFormat="1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1" fontId="42" fillId="0" borderId="184" xfId="0" applyNumberFormat="1" applyFont="1" applyBorder="1" applyAlignment="1" applyProtection="1">
      <alignment horizontal="center" vertical="center" wrapText="1"/>
      <protection/>
    </xf>
    <xf numFmtId="3" fontId="46" fillId="0" borderId="4" xfId="31" applyNumberFormat="1" applyFont="1" applyBorder="1" applyAlignment="1">
      <alignment horizontal="right" vertical="center" wrapText="1"/>
      <protection/>
    </xf>
    <xf numFmtId="3" fontId="49" fillId="0" borderId="4" xfId="31" applyNumberFormat="1" applyFont="1" applyBorder="1" applyAlignment="1">
      <alignment horizontal="right" vertical="center" wrapText="1"/>
      <protection/>
    </xf>
    <xf numFmtId="3" fontId="46" fillId="0" borderId="39" xfId="31" applyNumberFormat="1" applyFont="1" applyBorder="1" applyAlignment="1">
      <alignment horizontal="right" vertical="center" wrapText="1"/>
      <protection/>
    </xf>
    <xf numFmtId="3" fontId="49" fillId="0" borderId="39" xfId="31" applyNumberFormat="1" applyFont="1" applyBorder="1" applyAlignment="1">
      <alignment horizontal="right" vertical="center" wrapText="1"/>
      <protection/>
    </xf>
    <xf numFmtId="4" fontId="22" fillId="0" borderId="43" xfId="31" applyNumberFormat="1" applyFont="1" applyBorder="1" applyAlignment="1">
      <alignment horizontal="left" vertical="center" wrapText="1"/>
      <protection/>
    </xf>
    <xf numFmtId="4" fontId="22" fillId="5" borderId="5" xfId="28" applyNumberFormat="1" applyFont="1" applyFill="1" applyBorder="1" applyAlignment="1">
      <alignment horizontal="right" vertical="center" wrapText="1"/>
      <protection/>
    </xf>
    <xf numFmtId="0" fontId="22" fillId="0" borderId="38" xfId="31" applyFont="1" applyBorder="1" applyAlignment="1">
      <alignment horizontal="center" vertical="center" wrapText="1"/>
      <protection/>
    </xf>
    <xf numFmtId="4" fontId="22" fillId="0" borderId="38" xfId="31" applyNumberFormat="1" applyFont="1" applyBorder="1" applyAlignment="1">
      <alignment horizontal="left" vertical="center" wrapText="1"/>
      <protection/>
    </xf>
    <xf numFmtId="4" fontId="22" fillId="0" borderId="45" xfId="31" applyNumberFormat="1" applyFont="1" applyBorder="1" applyAlignment="1">
      <alignment horizontal="left" vertical="center" wrapText="1"/>
      <protection/>
    </xf>
    <xf numFmtId="4" fontId="23" fillId="0" borderId="45" xfId="31" applyNumberFormat="1" applyFont="1" applyBorder="1" applyAlignment="1">
      <alignment vertical="center" wrapText="1"/>
      <protection/>
    </xf>
    <xf numFmtId="4" fontId="23" fillId="0" borderId="46" xfId="31" applyNumberFormat="1" applyFont="1" applyBorder="1" applyAlignment="1">
      <alignment vertical="center" wrapText="1"/>
      <protection/>
    </xf>
    <xf numFmtId="4" fontId="23" fillId="0" borderId="47" xfId="31" applyNumberFormat="1" applyFont="1" applyBorder="1" applyAlignment="1" applyProtection="1">
      <alignment horizontal="right" vertical="center" wrapText="1"/>
      <protection locked="0"/>
    </xf>
    <xf numFmtId="4" fontId="23" fillId="0" borderId="46" xfId="31" applyNumberFormat="1" applyFont="1" applyBorder="1" applyAlignment="1" applyProtection="1">
      <alignment horizontal="right" vertical="center" wrapText="1"/>
      <protection/>
    </xf>
    <xf numFmtId="4" fontId="23" fillId="0" borderId="47" xfId="31" applyNumberFormat="1" applyFont="1" applyBorder="1" applyAlignment="1">
      <alignment vertical="center" wrapText="1"/>
      <protection/>
    </xf>
    <xf numFmtId="4" fontId="23" fillId="0" borderId="73" xfId="31" applyNumberFormat="1" applyFont="1" applyBorder="1" applyAlignment="1">
      <alignment vertical="center" wrapText="1"/>
      <protection/>
    </xf>
    <xf numFmtId="4" fontId="23" fillId="0" borderId="74" xfId="31" applyNumberFormat="1" applyFont="1" applyBorder="1" applyAlignment="1">
      <alignment vertical="center" wrapText="1"/>
      <protection/>
    </xf>
    <xf numFmtId="1" fontId="23" fillId="0" borderId="57" xfId="20" applyNumberFormat="1" applyFont="1" applyBorder="1" applyAlignment="1" applyProtection="1">
      <alignment horizontal="center" vertical="center"/>
      <protection/>
    </xf>
    <xf numFmtId="0" fontId="29" fillId="0" borderId="58" xfId="0" applyFont="1" applyBorder="1" applyAlignment="1">
      <alignment horizontal="left" vertical="center" wrapText="1"/>
    </xf>
    <xf numFmtId="4" fontId="23" fillId="0" borderId="60" xfId="20" applyNumberFormat="1" applyFont="1" applyBorder="1" applyAlignment="1" applyProtection="1">
      <alignment horizontal="left" vertical="center" wrapText="1"/>
      <protection/>
    </xf>
    <xf numFmtId="0" fontId="29" fillId="0" borderId="52" xfId="0" applyFont="1" applyBorder="1" applyAlignment="1">
      <alignment horizontal="justify" vertical="center" wrapText="1"/>
    </xf>
    <xf numFmtId="4" fontId="23" fillId="0" borderId="53" xfId="31" applyNumberFormat="1" applyFont="1" applyBorder="1" applyAlignment="1">
      <alignment horizontal="left" vertical="center" wrapText="1"/>
      <protection/>
    </xf>
    <xf numFmtId="4" fontId="23" fillId="0" borderId="54" xfId="31" applyNumberFormat="1" applyFont="1" applyBorder="1" applyAlignment="1">
      <alignment horizontal="left" vertical="center" wrapText="1"/>
      <protection/>
    </xf>
    <xf numFmtId="4" fontId="23" fillId="0" borderId="53" xfId="31" applyNumberFormat="1" applyFont="1" applyBorder="1" applyAlignment="1">
      <alignment horizontal="right" vertical="center" wrapText="1"/>
      <protection/>
    </xf>
    <xf numFmtId="1" fontId="22" fillId="2" borderId="19" xfId="20" applyNumberFormat="1" applyFont="1" applyFill="1" applyBorder="1" applyAlignment="1" applyProtection="1">
      <alignment horizontal="center" vertical="center"/>
      <protection/>
    </xf>
    <xf numFmtId="0" fontId="10" fillId="2" borderId="17" xfId="20" applyFont="1" applyFill="1" applyBorder="1" applyAlignment="1" applyProtection="1">
      <alignment horizontal="center" vertical="center"/>
      <protection/>
    </xf>
    <xf numFmtId="49" fontId="28" fillId="2" borderId="19" xfId="31" applyNumberFormat="1" applyFont="1" applyFill="1" applyBorder="1" applyAlignment="1">
      <alignment horizontal="center" vertical="center" wrapText="1"/>
      <protection/>
    </xf>
    <xf numFmtId="0" fontId="10" fillId="0" borderId="185" xfId="20" applyFont="1" applyBorder="1" applyAlignment="1" applyProtection="1">
      <alignment horizontal="center" vertical="center"/>
      <protection/>
    </xf>
    <xf numFmtId="0" fontId="23" fillId="0" borderId="107" xfId="20" applyFont="1" applyBorder="1" applyAlignment="1" applyProtection="1">
      <alignment horizontal="center" vertical="center"/>
      <protection/>
    </xf>
    <xf numFmtId="4" fontId="23" fillId="0" borderId="108" xfId="29" applyNumberFormat="1" applyFont="1" applyFill="1" applyBorder="1" applyAlignment="1" applyProtection="1">
      <alignment horizontal="right" vertical="center" wrapText="1"/>
      <protection/>
    </xf>
    <xf numFmtId="4" fontId="23" fillId="0" borderId="186" xfId="29" applyNumberFormat="1" applyFont="1" applyFill="1" applyBorder="1" applyAlignment="1" applyProtection="1">
      <alignment horizontal="right" vertical="center" wrapText="1"/>
      <protection/>
    </xf>
    <xf numFmtId="4" fontId="23" fillId="0" borderId="109" xfId="29" applyNumberFormat="1" applyFont="1" applyFill="1" applyBorder="1" applyAlignment="1" applyProtection="1">
      <alignment horizontal="right" vertical="center" wrapText="1"/>
      <protection/>
    </xf>
    <xf numFmtId="4" fontId="23" fillId="0" borderId="109" xfId="20" applyNumberFormat="1" applyFont="1" applyBorder="1" applyAlignment="1" applyProtection="1">
      <alignment horizontal="left" vertical="center" wrapText="1"/>
      <protection/>
    </xf>
    <xf numFmtId="4" fontId="23" fillId="0" borderId="110" xfId="29" applyNumberFormat="1" applyFont="1" applyFill="1" applyBorder="1" applyAlignment="1" applyProtection="1">
      <alignment horizontal="right" vertical="center" wrapText="1"/>
      <protection/>
    </xf>
    <xf numFmtId="4" fontId="23" fillId="0" borderId="71" xfId="20" applyNumberFormat="1" applyFont="1" applyBorder="1" applyAlignment="1" applyProtection="1">
      <alignment horizontal="right" vertical="center" wrapText="1"/>
      <protection/>
    </xf>
    <xf numFmtId="4" fontId="23" fillId="0" borderId="72" xfId="20" applyNumberFormat="1" applyFont="1" applyBorder="1" applyAlignment="1" applyProtection="1">
      <alignment horizontal="right" vertical="center" wrapText="1"/>
      <protection/>
    </xf>
    <xf numFmtId="4" fontId="23" fillId="0" borderId="73" xfId="20" applyNumberFormat="1" applyFont="1" applyBorder="1" applyAlignment="1" applyProtection="1">
      <alignment horizontal="right" vertical="center" wrapText="1"/>
      <protection/>
    </xf>
    <xf numFmtId="4" fontId="23" fillId="0" borderId="74" xfId="20" applyNumberFormat="1" applyFont="1" applyBorder="1" applyAlignment="1" applyProtection="1">
      <alignment horizontal="right" vertical="center"/>
      <protection/>
    </xf>
    <xf numFmtId="4" fontId="23" fillId="0" borderId="44" xfId="20" applyNumberFormat="1" applyFont="1" applyBorder="1" applyAlignment="1" applyProtection="1">
      <alignment horizontal="right" vertical="center" wrapText="1"/>
      <protection/>
    </xf>
    <xf numFmtId="1" fontId="21" fillId="0" borderId="10" xfId="20" applyNumberFormat="1" applyFont="1" applyBorder="1" applyAlignment="1" applyProtection="1">
      <alignment horizontal="center" vertical="center"/>
      <protection/>
    </xf>
    <xf numFmtId="0" fontId="26" fillId="0" borderId="0" xfId="28" applyFont="1" applyFill="1" applyBorder="1" applyAlignment="1" quotePrefix="1">
      <alignment horizontal="left" vertical="center" wrapText="1"/>
      <protection/>
    </xf>
    <xf numFmtId="0" fontId="22" fillId="0" borderId="0" xfId="25" applyFont="1" applyAlignment="1">
      <alignment vertical="center"/>
      <protection/>
    </xf>
    <xf numFmtId="4" fontId="10" fillId="0" borderId="104" xfId="28" applyNumberFormat="1" applyFont="1" applyFill="1" applyBorder="1" applyAlignment="1">
      <alignment horizontal="center" vertical="center" wrapText="1"/>
      <protection/>
    </xf>
    <xf numFmtId="4" fontId="23" fillId="0" borderId="16" xfId="28" applyNumberFormat="1" applyFont="1" applyFill="1" applyBorder="1" applyAlignment="1">
      <alignment horizontal="center" vertical="center" wrapText="1"/>
      <protection/>
    </xf>
    <xf numFmtId="4" fontId="23" fillId="0" borderId="16" xfId="28" applyNumberFormat="1" applyFont="1" applyFill="1" applyBorder="1" applyAlignment="1">
      <alignment horizontal="left" vertical="center" wrapText="1"/>
      <protection/>
    </xf>
    <xf numFmtId="4" fontId="23" fillId="0" borderId="92" xfId="28" applyNumberFormat="1" applyFont="1" applyFill="1" applyBorder="1" applyAlignment="1">
      <alignment horizontal="left" vertical="center" wrapText="1"/>
      <protection/>
    </xf>
    <xf numFmtId="4" fontId="23" fillId="0" borderId="94" xfId="28" applyNumberFormat="1" applyFont="1" applyFill="1" applyBorder="1" applyAlignment="1">
      <alignment horizontal="left" vertical="center" wrapText="1"/>
      <protection/>
    </xf>
    <xf numFmtId="4" fontId="23" fillId="0" borderId="94" xfId="28" applyNumberFormat="1" applyFont="1" applyFill="1" applyBorder="1" applyAlignment="1">
      <alignment horizontal="right" vertical="center" wrapText="1"/>
      <protection/>
    </xf>
    <xf numFmtId="4" fontId="23" fillId="0" borderId="95" xfId="28" applyNumberFormat="1" applyFont="1" applyFill="1" applyBorder="1" applyAlignment="1">
      <alignment horizontal="right" vertical="center" wrapText="1"/>
      <protection/>
    </xf>
    <xf numFmtId="4" fontId="10" fillId="0" borderId="162" xfId="31" applyNumberFormat="1" applyFont="1" applyBorder="1" applyAlignment="1">
      <alignment horizontal="center" vertical="center" wrapText="1"/>
      <protection/>
    </xf>
    <xf numFmtId="4" fontId="23" fillId="0" borderId="5" xfId="31" applyNumberFormat="1" applyFont="1" applyBorder="1" applyAlignment="1">
      <alignment horizontal="center" vertical="center" wrapText="1"/>
      <protection/>
    </xf>
    <xf numFmtId="4" fontId="23" fillId="0" borderId="5" xfId="31" applyNumberFormat="1" applyFont="1" applyBorder="1" applyAlignment="1">
      <alignment horizontal="right" vertical="center" wrapText="1"/>
      <protection/>
    </xf>
    <xf numFmtId="4" fontId="10" fillId="0" borderId="86" xfId="31" applyNumberFormat="1" applyFont="1" applyBorder="1" applyAlignment="1">
      <alignment horizontal="center" vertical="center" wrapText="1"/>
      <protection/>
    </xf>
    <xf numFmtId="4" fontId="23" fillId="0" borderId="26" xfId="31" applyNumberFormat="1" applyFont="1" applyBorder="1" applyAlignment="1">
      <alignment horizontal="right" vertical="center" wrapText="1"/>
      <protection/>
    </xf>
    <xf numFmtId="4" fontId="10" fillId="0" borderId="22" xfId="31" applyNumberFormat="1" applyFont="1" applyBorder="1" applyAlignment="1">
      <alignment horizontal="center" vertical="center" wrapText="1"/>
      <protection/>
    </xf>
    <xf numFmtId="4" fontId="26" fillId="0" borderId="0" xfId="31" applyNumberFormat="1" applyFont="1" applyBorder="1" applyAlignment="1" quotePrefix="1">
      <alignment horizontal="left" vertical="center" wrapText="1"/>
      <protection/>
    </xf>
    <xf numFmtId="4" fontId="26" fillId="0" borderId="5" xfId="31" applyNumberFormat="1" applyFont="1" applyBorder="1" applyAlignment="1" quotePrefix="1">
      <alignment horizontal="left" vertical="center" wrapText="1"/>
      <protection/>
    </xf>
    <xf numFmtId="1" fontId="22" fillId="0" borderId="91" xfId="25" applyNumberFormat="1" applyFont="1" applyBorder="1" applyAlignment="1" applyProtection="1">
      <alignment horizontal="center" vertical="center" wrapText="1"/>
      <protection/>
    </xf>
    <xf numFmtId="1" fontId="22" fillId="0" borderId="57" xfId="25" applyNumberFormat="1" applyFont="1" applyBorder="1" applyAlignment="1" applyProtection="1">
      <alignment horizontal="center" vertical="center" wrapText="1"/>
      <protection/>
    </xf>
    <xf numFmtId="4" fontId="21" fillId="0" borderId="0" xfId="20" applyNumberFormat="1" applyFont="1" applyBorder="1" applyAlignment="1" applyProtection="1">
      <alignment horizontal="center" wrapText="1"/>
      <protection/>
    </xf>
    <xf numFmtId="0" fontId="10" fillId="0" borderId="45" xfId="2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>
      <alignment horizontal="center" vertical="center"/>
    </xf>
    <xf numFmtId="0" fontId="22" fillId="0" borderId="38" xfId="31" applyFont="1" applyFill="1" applyBorder="1" applyAlignment="1">
      <alignment horizontal="left" vertical="center" wrapText="1"/>
      <protection/>
    </xf>
    <xf numFmtId="4" fontId="23" fillId="0" borderId="43" xfId="31" applyNumberFormat="1" applyFont="1" applyFill="1" applyBorder="1" applyAlignment="1">
      <alignment vertical="center" wrapText="1"/>
      <protection/>
    </xf>
    <xf numFmtId="4" fontId="23" fillId="0" borderId="44" xfId="31" applyNumberFormat="1" applyFont="1" applyFill="1" applyBorder="1" applyAlignment="1">
      <alignment vertical="center" wrapText="1"/>
      <protection/>
    </xf>
    <xf numFmtId="4" fontId="23" fillId="0" borderId="47" xfId="31" applyNumberFormat="1" applyFont="1" applyFill="1" applyBorder="1" applyAlignment="1">
      <alignment vertical="center" wrapText="1"/>
      <protection/>
    </xf>
    <xf numFmtId="4" fontId="22" fillId="0" borderId="47" xfId="29" applyNumberFormat="1" applyFont="1" applyFill="1" applyBorder="1" applyAlignment="1">
      <alignment vertical="center"/>
    </xf>
    <xf numFmtId="4" fontId="22" fillId="0" borderId="46" xfId="31" applyNumberFormat="1" applyFont="1" applyFill="1" applyBorder="1" applyAlignment="1">
      <alignment vertical="center" wrapText="1"/>
      <protection/>
    </xf>
    <xf numFmtId="4" fontId="26" fillId="0" borderId="71" xfId="31" applyNumberFormat="1" applyFont="1" applyBorder="1" applyAlignment="1">
      <alignment horizontal="left" vertical="center" wrapText="1"/>
      <protection/>
    </xf>
    <xf numFmtId="4" fontId="22" fillId="10" borderId="11" xfId="29" applyNumberFormat="1" applyFont="1" applyFill="1" applyBorder="1" applyAlignment="1" applyProtection="1">
      <alignment horizontal="right" vertical="center" wrapText="1"/>
      <protection/>
    </xf>
    <xf numFmtId="0" fontId="46" fillId="0" borderId="176" xfId="31" applyFont="1" applyBorder="1" applyAlignment="1" quotePrefix="1">
      <alignment horizontal="left" vertical="center" wrapText="1"/>
      <protection/>
    </xf>
    <xf numFmtId="4" fontId="23" fillId="0" borderId="11" xfId="31" applyNumberFormat="1" applyFont="1" applyBorder="1" applyAlignment="1">
      <alignment horizontal="left" vertical="center" wrapText="1"/>
      <protection/>
    </xf>
    <xf numFmtId="0" fontId="11" fillId="0" borderId="0" xfId="25" applyFont="1" applyBorder="1" applyAlignment="1">
      <alignment vertical="center"/>
      <protection/>
    </xf>
    <xf numFmtId="4" fontId="23" fillId="0" borderId="12" xfId="31" applyNumberFormat="1" applyFont="1" applyBorder="1" applyAlignment="1">
      <alignment horizontal="left" vertical="center" wrapText="1"/>
      <protection/>
    </xf>
    <xf numFmtId="0" fontId="23" fillId="0" borderId="26" xfId="31" applyFont="1" applyFill="1" applyBorder="1" applyAlignment="1">
      <alignment horizontal="left" vertical="center" wrapText="1"/>
      <protection/>
    </xf>
    <xf numFmtId="4" fontId="23" fillId="0" borderId="50" xfId="29" applyNumberFormat="1" applyFont="1" applyFill="1" applyBorder="1" applyAlignment="1">
      <alignment vertical="center" wrapText="1"/>
    </xf>
    <xf numFmtId="4" fontId="23" fillId="0" borderId="51" xfId="31" applyNumberFormat="1" applyFont="1" applyFill="1" applyBorder="1" applyAlignment="1">
      <alignment vertical="center" wrapText="1"/>
      <protection/>
    </xf>
    <xf numFmtId="0" fontId="68" fillId="0" borderId="140" xfId="21" applyFont="1" applyBorder="1" applyAlignment="1" applyProtection="1">
      <alignment horizontal="center" vertical="center"/>
      <protection/>
    </xf>
    <xf numFmtId="0" fontId="3" fillId="0" borderId="140" xfId="21" applyFont="1" applyBorder="1" applyAlignment="1" applyProtection="1">
      <alignment horizontal="center" vertical="center"/>
      <protection/>
    </xf>
    <xf numFmtId="0" fontId="3" fillId="0" borderId="8" xfId="21" applyFont="1" applyBorder="1" applyAlignment="1" applyProtection="1">
      <alignment horizontal="center" vertical="center"/>
      <protection/>
    </xf>
    <xf numFmtId="165" fontId="3" fillId="0" borderId="64" xfId="21" applyNumberFormat="1" applyFont="1" applyBorder="1" applyAlignment="1" applyProtection="1">
      <alignment horizontal="centerContinuous" vertical="center"/>
      <protection/>
    </xf>
    <xf numFmtId="0" fontId="3" fillId="0" borderId="0" xfId="21">
      <alignment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3" fillId="0" borderId="14" xfId="21" applyFont="1" applyBorder="1" applyAlignment="1" applyProtection="1">
      <alignment horizontal="center" vertical="center"/>
      <protection/>
    </xf>
    <xf numFmtId="0" fontId="3" fillId="0" borderId="5" xfId="21" applyFont="1" applyBorder="1" applyAlignment="1" applyProtection="1">
      <alignment horizontal="center" vertical="center"/>
      <protection/>
    </xf>
    <xf numFmtId="165" fontId="71" fillId="0" borderId="12" xfId="21" applyNumberFormat="1" applyFont="1" applyBorder="1" applyAlignment="1" applyProtection="1">
      <alignment horizontal="center" vertical="center"/>
      <protection/>
    </xf>
    <xf numFmtId="0" fontId="44" fillId="2" borderId="162" xfId="15" applyFont="1" applyBorder="1" applyAlignment="1">
      <alignment horizontal="center" vertical="center" wrapText="1"/>
      <protection/>
    </xf>
    <xf numFmtId="0" fontId="44" fillId="2" borderId="3" xfId="15" applyFont="1" applyBorder="1" applyAlignment="1" quotePrefix="1">
      <alignment horizontal="center" vertical="center" wrapText="1"/>
      <protection/>
    </xf>
    <xf numFmtId="0" fontId="1" fillId="2" borderId="1" xfId="15" applyFont="1" applyBorder="1" applyAlignment="1">
      <alignment horizontal="center" vertical="center" wrapText="1"/>
      <protection/>
    </xf>
    <xf numFmtId="0" fontId="1" fillId="2" borderId="1" xfId="15" applyFont="1" applyAlignment="1">
      <alignment horizontal="center" vertical="center" wrapText="1"/>
      <protection/>
    </xf>
    <xf numFmtId="0" fontId="44" fillId="2" borderId="5" xfId="15" applyFont="1" applyBorder="1" applyAlignment="1">
      <alignment horizontal="center" vertical="center" wrapText="1"/>
      <protection/>
    </xf>
    <xf numFmtId="3" fontId="72" fillId="2" borderId="3" xfId="15" applyNumberFormat="1" applyFont="1" applyBorder="1" applyAlignment="1">
      <alignment horizontal="right" vertical="center" wrapText="1"/>
      <protection/>
    </xf>
    <xf numFmtId="0" fontId="73" fillId="0" borderId="4" xfId="21" applyFont="1" applyBorder="1" applyAlignment="1" applyProtection="1">
      <alignment horizontal="center" vertical="center"/>
      <protection/>
    </xf>
    <xf numFmtId="0" fontId="44" fillId="5" borderId="3" xfId="28" applyFont="1" applyFill="1" applyBorder="1" applyAlignment="1" quotePrefix="1">
      <alignment horizontal="center" vertical="center" wrapText="1"/>
      <protection/>
    </xf>
    <xf numFmtId="0" fontId="44" fillId="5" borderId="1" xfId="28" applyFont="1" applyFill="1" applyBorder="1" applyAlignment="1">
      <alignment horizontal="center" vertical="center" wrapText="1"/>
      <protection/>
    </xf>
    <xf numFmtId="0" fontId="44" fillId="5" borderId="1" xfId="28" applyFont="1" applyFill="1" applyAlignment="1">
      <alignment horizontal="center" vertical="center" wrapText="1"/>
      <protection/>
    </xf>
    <xf numFmtId="0" fontId="44" fillId="5" borderId="1" xfId="28" applyFont="1" applyFill="1" applyAlignment="1">
      <alignment horizontal="left" vertical="center" wrapText="1"/>
      <protection/>
    </xf>
    <xf numFmtId="3" fontId="44" fillId="5" borderId="3" xfId="28" applyNumberFormat="1" applyFont="1" applyFill="1" applyBorder="1" applyAlignment="1">
      <alignment horizontal="right" vertical="center" wrapText="1"/>
      <protection/>
    </xf>
    <xf numFmtId="0" fontId="74" fillId="0" borderId="4" xfId="21" applyFont="1" applyBorder="1" applyAlignment="1" applyProtection="1">
      <alignment horizontal="center" vertical="center"/>
      <protection/>
    </xf>
    <xf numFmtId="0" fontId="3" fillId="0" borderId="0" xfId="21" applyFont="1" applyBorder="1" applyAlignment="1" applyProtection="1">
      <alignment horizontal="center" vertical="center"/>
      <protection/>
    </xf>
    <xf numFmtId="0" fontId="54" fillId="0" borderId="77" xfId="31" applyFont="1" applyBorder="1" applyAlignment="1">
      <alignment horizontal="center" vertical="center" wrapText="1"/>
      <protection/>
    </xf>
    <xf numFmtId="0" fontId="54" fillId="0" borderId="0" xfId="31" applyFont="1" applyBorder="1" applyAlignment="1">
      <alignment horizontal="center" vertical="center" wrapText="1"/>
      <protection/>
    </xf>
    <xf numFmtId="0" fontId="60" fillId="0" borderId="0" xfId="31" applyFont="1" applyBorder="1" applyAlignment="1">
      <alignment horizontal="left" vertical="center" wrapText="1"/>
      <protection/>
    </xf>
    <xf numFmtId="0" fontId="46" fillId="0" borderId="0" xfId="31" applyFont="1" applyBorder="1" applyAlignment="1" quotePrefix="1">
      <alignment horizontal="left" vertical="center" wrapText="1"/>
      <protection/>
    </xf>
    <xf numFmtId="0" fontId="3" fillId="0" borderId="77" xfId="21" applyFont="1" applyBorder="1" applyAlignment="1" applyProtection="1">
      <alignment horizontal="center" vertical="center"/>
      <protection/>
    </xf>
    <xf numFmtId="0" fontId="44" fillId="2" borderId="1" xfId="15" applyFont="1" applyBorder="1" applyAlignment="1">
      <alignment horizontal="center" vertical="center" wrapText="1"/>
      <protection/>
    </xf>
    <xf numFmtId="0" fontId="44" fillId="2" borderId="3" xfId="15" applyFont="1" applyBorder="1" applyAlignment="1">
      <alignment horizontal="center" vertical="center" wrapText="1"/>
      <protection/>
    </xf>
    <xf numFmtId="0" fontId="44" fillId="2" borderId="1" xfId="15" applyFont="1" applyAlignment="1">
      <alignment horizontal="center" vertical="center" wrapText="1"/>
      <protection/>
    </xf>
    <xf numFmtId="3" fontId="44" fillId="2" borderId="3" xfId="15" applyNumberFormat="1" applyFont="1" applyBorder="1" applyAlignment="1">
      <alignment horizontal="right" vertical="center" wrapText="1"/>
      <protection/>
    </xf>
    <xf numFmtId="0" fontId="75" fillId="0" borderId="4" xfId="21" applyFont="1" applyBorder="1" applyAlignment="1" applyProtection="1">
      <alignment horizontal="center" vertical="center"/>
      <protection/>
    </xf>
    <xf numFmtId="0" fontId="44" fillId="0" borderId="4" xfId="21" applyFont="1" applyBorder="1" applyAlignment="1" applyProtection="1">
      <alignment horizontal="center" vertical="center"/>
      <protection/>
    </xf>
    <xf numFmtId="0" fontId="74" fillId="0" borderId="0" xfId="21" applyFont="1" applyBorder="1" applyAlignment="1" applyProtection="1">
      <alignment horizontal="center" vertical="center"/>
      <protection/>
    </xf>
    <xf numFmtId="0" fontId="46" fillId="0" borderId="77" xfId="31" applyFont="1" applyBorder="1" applyAlignment="1">
      <alignment horizontal="center" vertical="center" wrapText="1"/>
      <protection/>
    </xf>
    <xf numFmtId="0" fontId="72" fillId="0" borderId="4" xfId="21" applyFont="1" applyBorder="1" applyAlignment="1" applyProtection="1">
      <alignment horizontal="center" vertical="center"/>
      <protection/>
    </xf>
    <xf numFmtId="0" fontId="44" fillId="5" borderId="3" xfId="28" applyFont="1" applyFill="1" applyBorder="1" applyAlignment="1">
      <alignment horizontal="center" vertical="center" wrapText="1"/>
      <protection/>
    </xf>
    <xf numFmtId="0" fontId="1" fillId="2" borderId="3" xfId="15" applyFont="1" applyBorder="1" applyAlignment="1">
      <alignment horizontal="center" vertical="center" wrapText="1"/>
      <protection/>
    </xf>
    <xf numFmtId="0" fontId="44" fillId="2" borderId="64" xfId="15" applyFont="1" applyBorder="1" applyAlignment="1">
      <alignment horizontal="center" vertical="center" wrapText="1"/>
      <protection/>
    </xf>
    <xf numFmtId="0" fontId="3" fillId="0" borderId="0" xfId="21" applyFont="1">
      <alignment/>
      <protection/>
    </xf>
    <xf numFmtId="0" fontId="44" fillId="2" borderId="1" xfId="15" applyFont="1" applyAlignment="1">
      <alignment horizontal="left" vertical="center" wrapText="1"/>
      <protection/>
    </xf>
    <xf numFmtId="0" fontId="73" fillId="0" borderId="4" xfId="21" applyFont="1" applyBorder="1" applyAlignment="1" applyProtection="1" quotePrefix="1">
      <alignment horizontal="center" vertical="center"/>
      <protection/>
    </xf>
    <xf numFmtId="0" fontId="44" fillId="2" borderId="1" xfId="15" applyFont="1" applyAlignment="1" quotePrefix="1">
      <alignment horizontal="left" vertical="center" wrapText="1"/>
      <protection/>
    </xf>
    <xf numFmtId="0" fontId="75" fillId="0" borderId="4" xfId="21" applyFont="1" applyBorder="1" applyAlignment="1" applyProtection="1" quotePrefix="1">
      <alignment horizontal="center" vertical="center"/>
      <protection/>
    </xf>
    <xf numFmtId="0" fontId="44" fillId="5" borderId="1" xfId="28" applyFont="1" applyFill="1" applyAlignment="1" quotePrefix="1">
      <alignment horizontal="left" vertical="center" wrapText="1"/>
      <protection/>
    </xf>
    <xf numFmtId="0" fontId="72" fillId="5" borderId="3" xfId="28" applyFont="1" applyFill="1" applyBorder="1" applyAlignment="1" quotePrefix="1">
      <alignment horizontal="center" vertical="center" wrapText="1"/>
      <protection/>
    </xf>
    <xf numFmtId="0" fontId="72" fillId="5" borderId="1" xfId="28" applyFont="1" applyFill="1" applyBorder="1" applyAlignment="1" quotePrefix="1">
      <alignment horizontal="left" vertical="center" wrapText="1"/>
      <protection/>
    </xf>
    <xf numFmtId="0" fontId="73" fillId="0" borderId="10" xfId="21" applyFont="1" applyBorder="1" applyAlignment="1" applyProtection="1" quotePrefix="1">
      <alignment horizontal="center" vertical="center"/>
      <protection/>
    </xf>
    <xf numFmtId="0" fontId="74" fillId="0" borderId="12" xfId="21" applyFont="1" applyBorder="1" applyAlignment="1" applyProtection="1">
      <alignment horizontal="center" vertical="center"/>
      <protection/>
    </xf>
    <xf numFmtId="0" fontId="3" fillId="0" borderId="5" xfId="21" applyFont="1" applyBorder="1" applyAlignment="1" applyProtection="1">
      <alignment horizontal="center" vertical="center"/>
      <protection/>
    </xf>
    <xf numFmtId="0" fontId="44" fillId="2" borderId="8" xfId="15" applyFont="1" applyBorder="1" applyAlignment="1">
      <alignment horizontal="center" vertical="center" wrapText="1"/>
      <protection/>
    </xf>
    <xf numFmtId="0" fontId="3" fillId="0" borderId="0" xfId="21" applyBorder="1">
      <alignment/>
      <protection/>
    </xf>
    <xf numFmtId="0" fontId="44" fillId="5" borderId="64" xfId="28" applyFont="1" applyFill="1" applyBorder="1" applyAlignment="1">
      <alignment horizontal="left" vertical="center" wrapText="1"/>
      <protection/>
    </xf>
    <xf numFmtId="0" fontId="73" fillId="0" borderId="12" xfId="21" applyFont="1" applyBorder="1" applyAlignment="1" applyProtection="1" quotePrefix="1">
      <alignment horizontal="center" vertical="center"/>
      <protection/>
    </xf>
    <xf numFmtId="0" fontId="0" fillId="0" borderId="8" xfId="21" applyFont="1" applyBorder="1" applyAlignment="1" applyProtection="1">
      <alignment horizontal="center" vertical="center"/>
      <protection/>
    </xf>
    <xf numFmtId="0" fontId="76" fillId="11" borderId="181" xfId="21" applyFont="1" applyFill="1" applyBorder="1" applyAlignment="1" applyProtection="1">
      <alignment horizontal="center" vertical="center"/>
      <protection/>
    </xf>
    <xf numFmtId="164" fontId="56" fillId="11" borderId="182" xfId="21" applyNumberFormat="1" applyFont="1" applyFill="1" applyBorder="1" applyAlignment="1" applyProtection="1">
      <alignment horizontal="center" vertical="center"/>
      <protection/>
    </xf>
    <xf numFmtId="3" fontId="56" fillId="11" borderId="183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Alignment="1" applyProtection="1">
      <alignment horizontal="center" vertical="center"/>
      <protection/>
    </xf>
    <xf numFmtId="0" fontId="3" fillId="0" borderId="0" xfId="21" applyFont="1" applyAlignment="1" applyProtection="1">
      <alignment horizontal="center" vertical="center"/>
      <protection/>
    </xf>
    <xf numFmtId="0" fontId="3" fillId="0" borderId="0" xfId="21" applyFont="1" applyAlignment="1" applyProtection="1">
      <alignment horizontal="right" vertical="center" wrapText="1"/>
      <protection/>
    </xf>
    <xf numFmtId="0" fontId="3" fillId="0" borderId="0" xfId="21" applyAlignment="1">
      <alignment horizontal="right"/>
      <protection/>
    </xf>
    <xf numFmtId="165" fontId="3" fillId="0" borderId="0" xfId="21" applyNumberFormat="1" applyFont="1" applyAlignment="1" applyProtection="1">
      <alignment horizontal="right" vertical="center"/>
      <protection/>
    </xf>
    <xf numFmtId="164" fontId="3" fillId="0" borderId="0" xfId="21" applyNumberFormat="1" applyFont="1" applyBorder="1" applyAlignment="1" applyProtection="1">
      <alignment horizontal="right" vertical="center"/>
      <protection/>
    </xf>
    <xf numFmtId="0" fontId="77" fillId="0" borderId="0" xfId="21" applyFont="1" applyAlignment="1" applyProtection="1">
      <alignment horizontal="center" vertical="center"/>
      <protection/>
    </xf>
    <xf numFmtId="0" fontId="3" fillId="0" borderId="0" xfId="21" applyFont="1" applyAlignment="1" applyProtection="1">
      <alignment horizontal="center" vertical="center"/>
      <protection/>
    </xf>
    <xf numFmtId="0" fontId="6" fillId="0" borderId="0" xfId="21" applyFont="1" applyBorder="1" applyAlignment="1" applyProtection="1">
      <alignment horizontal="left" wrapText="1"/>
      <protection/>
    </xf>
    <xf numFmtId="165" fontId="6" fillId="0" borderId="0" xfId="21" applyNumberFormat="1" applyFont="1" applyAlignment="1" applyProtection="1">
      <alignment horizontal="right" vertical="center"/>
      <protection/>
    </xf>
    <xf numFmtId="165" fontId="3" fillId="0" borderId="6" xfId="21" applyNumberFormat="1" applyFont="1" applyBorder="1" applyAlignment="1" applyProtection="1">
      <alignment horizontal="right" vertical="center"/>
      <protection/>
    </xf>
    <xf numFmtId="0" fontId="73" fillId="0" borderId="187" xfId="21" applyFont="1" applyBorder="1" applyAlignment="1" applyProtection="1" quotePrefix="1">
      <alignment horizontal="center" vertical="center"/>
      <protection/>
    </xf>
    <xf numFmtId="0" fontId="74" fillId="0" borderId="11" xfId="21" applyFont="1" applyBorder="1" applyAlignment="1" applyProtection="1">
      <alignment horizontal="center" vertical="center"/>
      <protection/>
    </xf>
    <xf numFmtId="0" fontId="74" fillId="0" borderId="8" xfId="21" applyFont="1" applyBorder="1" applyAlignment="1" applyProtection="1">
      <alignment horizontal="center" vertical="center"/>
      <protection/>
    </xf>
    <xf numFmtId="0" fontId="54" fillId="0" borderId="8" xfId="31" applyFont="1" applyBorder="1" applyAlignment="1">
      <alignment horizontal="center" vertical="center" wrapText="1"/>
      <protection/>
    </xf>
    <xf numFmtId="0" fontId="41" fillId="0" borderId="8" xfId="31" applyFont="1" applyBorder="1" applyAlignment="1">
      <alignment horizontal="left" vertical="center" wrapText="1"/>
      <protection/>
    </xf>
    <xf numFmtId="3" fontId="41" fillId="0" borderId="11" xfId="31" applyNumberFormat="1" applyFont="1" applyBorder="1" applyAlignment="1">
      <alignment horizontal="right" vertical="center" wrapText="1"/>
      <protection/>
    </xf>
    <xf numFmtId="3" fontId="41" fillId="0" borderId="188" xfId="31" applyNumberFormat="1" applyFont="1" applyBorder="1" applyAlignment="1">
      <alignment horizontal="right" vertical="center" wrapText="1"/>
      <protection/>
    </xf>
    <xf numFmtId="0" fontId="73" fillId="0" borderId="189" xfId="21" applyFont="1" applyBorder="1" applyAlignment="1" applyProtection="1" quotePrefix="1">
      <alignment horizontal="center" vertical="center"/>
      <protection/>
    </xf>
    <xf numFmtId="3" fontId="46" fillId="0" borderId="190" xfId="31" applyNumberFormat="1" applyFont="1" applyBorder="1" applyAlignment="1">
      <alignment horizontal="right" vertical="center" wrapText="1"/>
      <protection/>
    </xf>
    <xf numFmtId="0" fontId="78" fillId="0" borderId="189" xfId="21" applyFont="1" applyBorder="1" applyAlignment="1" applyProtection="1" quotePrefix="1">
      <alignment horizontal="center" vertical="center"/>
      <protection/>
    </xf>
    <xf numFmtId="0" fontId="79" fillId="0" borderId="4" xfId="21" applyFont="1" applyBorder="1" applyAlignment="1" applyProtection="1">
      <alignment horizontal="center" vertical="center"/>
      <protection/>
    </xf>
    <xf numFmtId="0" fontId="79" fillId="0" borderId="0" xfId="21" applyFont="1" applyBorder="1" applyAlignment="1" applyProtection="1">
      <alignment horizontal="center" vertical="center"/>
      <protection/>
    </xf>
    <xf numFmtId="0" fontId="80" fillId="0" borderId="0" xfId="31" applyFont="1" applyBorder="1" applyAlignment="1">
      <alignment horizontal="center" vertical="center" wrapText="1"/>
      <protection/>
    </xf>
    <xf numFmtId="0" fontId="80" fillId="0" borderId="0" xfId="31" applyFont="1" applyBorder="1" applyAlignment="1">
      <alignment horizontal="left" vertical="center" wrapText="1"/>
      <protection/>
    </xf>
    <xf numFmtId="3" fontId="41" fillId="0" borderId="190" xfId="31" applyNumberFormat="1" applyFont="1" applyBorder="1" applyAlignment="1">
      <alignment horizontal="right" vertical="center" wrapText="1"/>
      <protection/>
    </xf>
    <xf numFmtId="0" fontId="79" fillId="0" borderId="0" xfId="21" applyFont="1" applyBorder="1">
      <alignment/>
      <protection/>
    </xf>
    <xf numFmtId="0" fontId="41" fillId="0" borderId="77" xfId="31" applyFont="1" applyBorder="1" applyAlignment="1">
      <alignment horizontal="left" vertical="center" wrapText="1"/>
      <protection/>
    </xf>
    <xf numFmtId="3" fontId="41" fillId="0" borderId="27" xfId="31" applyNumberFormat="1" applyFont="1" applyBorder="1" applyAlignment="1">
      <alignment horizontal="right" vertical="center" wrapText="1"/>
      <protection/>
    </xf>
    <xf numFmtId="3" fontId="41" fillId="0" borderId="191" xfId="31" applyNumberFormat="1" applyFont="1" applyBorder="1" applyAlignment="1">
      <alignment horizontal="right" vertical="center" wrapText="1"/>
      <protection/>
    </xf>
    <xf numFmtId="3" fontId="49" fillId="0" borderId="190" xfId="31" applyNumberFormat="1" applyFont="1" applyBorder="1" applyAlignment="1">
      <alignment horizontal="right" vertical="center" wrapText="1"/>
      <protection/>
    </xf>
    <xf numFmtId="0" fontId="78" fillId="0" borderId="192" xfId="21" applyFont="1" applyBorder="1" applyAlignment="1" applyProtection="1" quotePrefix="1">
      <alignment horizontal="center" vertical="center"/>
      <protection/>
    </xf>
    <xf numFmtId="0" fontId="79" fillId="0" borderId="193" xfId="21" applyFont="1" applyBorder="1" applyAlignment="1" applyProtection="1">
      <alignment horizontal="center" vertical="center"/>
      <protection/>
    </xf>
    <xf numFmtId="0" fontId="79" fillId="0" borderId="194" xfId="21" applyFont="1" applyBorder="1" applyAlignment="1" applyProtection="1">
      <alignment horizontal="center" vertical="center"/>
      <protection/>
    </xf>
    <xf numFmtId="0" fontId="80" fillId="0" borderId="194" xfId="31" applyFont="1" applyBorder="1" applyAlignment="1">
      <alignment horizontal="center" vertical="center" wrapText="1"/>
      <protection/>
    </xf>
    <xf numFmtId="0" fontId="80" fillId="0" borderId="194" xfId="31" applyFont="1" applyBorder="1" applyAlignment="1">
      <alignment horizontal="left" vertical="center" wrapText="1"/>
      <protection/>
    </xf>
    <xf numFmtId="3" fontId="41" fillId="0" borderId="195" xfId="31" applyNumberFormat="1" applyFont="1" applyBorder="1" applyAlignment="1">
      <alignment horizontal="right" vertical="center" wrapText="1"/>
      <protection/>
    </xf>
    <xf numFmtId="0" fontId="0" fillId="0" borderId="8" xfId="21" applyFont="1" applyFill="1" applyBorder="1" applyAlignment="1" applyProtection="1">
      <alignment horizontal="center" vertical="center"/>
      <protection/>
    </xf>
    <xf numFmtId="0" fontId="3" fillId="0" borderId="0" xfId="21" applyFont="1" applyFill="1" applyBorder="1" applyAlignment="1" applyProtection="1">
      <alignment horizontal="center" vertical="center"/>
      <protection/>
    </xf>
    <xf numFmtId="0" fontId="3" fillId="0" borderId="196" xfId="21" applyFont="1" applyFill="1" applyBorder="1" applyAlignment="1" applyProtection="1">
      <alignment horizontal="center" vertical="center"/>
      <protection/>
    </xf>
    <xf numFmtId="164" fontId="81" fillId="0" borderId="197" xfId="21" applyNumberFormat="1" applyFont="1" applyFill="1" applyBorder="1" applyAlignment="1" applyProtection="1">
      <alignment horizontal="center" vertical="center"/>
      <protection/>
    </xf>
    <xf numFmtId="3" fontId="82" fillId="0" borderId="180" xfId="21" applyNumberFormat="1" applyFont="1" applyFill="1" applyBorder="1" applyAlignment="1" applyProtection="1">
      <alignment horizontal="right" vertical="center"/>
      <protection/>
    </xf>
    <xf numFmtId="0" fontId="3" fillId="0" borderId="0" xfId="21" applyFont="1" applyFill="1">
      <alignment/>
      <protection/>
    </xf>
    <xf numFmtId="0" fontId="6" fillId="0" borderId="0" xfId="21" applyFont="1" applyAlignment="1" applyProtection="1">
      <alignment horizontal="left" vertical="center" wrapText="1"/>
      <protection/>
    </xf>
    <xf numFmtId="164" fontId="3" fillId="0" borderId="0" xfId="21" applyNumberFormat="1" applyFont="1" applyAlignment="1" applyProtection="1">
      <alignment horizontal="right" vertical="center"/>
      <protection/>
    </xf>
    <xf numFmtId="0" fontId="44" fillId="0" borderId="3" xfId="21" applyFont="1" applyFill="1" applyBorder="1" applyAlignment="1" applyProtection="1">
      <alignment horizontal="center" vertical="center" wrapText="1"/>
      <protection/>
    </xf>
    <xf numFmtId="3" fontId="44" fillId="0" borderId="3" xfId="21" applyNumberFormat="1" applyFont="1" applyFill="1" applyBorder="1" applyAlignment="1" applyProtection="1">
      <alignment horizontal="center" vertical="center" wrapText="1"/>
      <protection/>
    </xf>
    <xf numFmtId="0" fontId="44" fillId="0" borderId="1" xfId="21" applyFont="1" applyFill="1" applyBorder="1" applyAlignment="1" applyProtection="1">
      <alignment horizontal="center" vertical="center" wrapText="1"/>
      <protection/>
    </xf>
    <xf numFmtId="0" fontId="37" fillId="0" borderId="0" xfId="21" applyFont="1" applyFill="1">
      <alignment/>
      <protection/>
    </xf>
    <xf numFmtId="0" fontId="44" fillId="14" borderId="3" xfId="21" applyFont="1" applyFill="1" applyBorder="1" applyAlignment="1" applyProtection="1">
      <alignment horizontal="center" vertical="center" wrapText="1"/>
      <protection/>
    </xf>
    <xf numFmtId="0" fontId="44" fillId="14" borderId="1" xfId="21" applyFont="1" applyFill="1" applyBorder="1" applyAlignment="1" applyProtection="1">
      <alignment horizontal="center" vertical="center" wrapText="1"/>
      <protection/>
    </xf>
    <xf numFmtId="3" fontId="44" fillId="0" borderId="14" xfId="21" applyNumberFormat="1" applyFont="1" applyFill="1" applyBorder="1" applyAlignment="1" applyProtection="1">
      <alignment horizontal="center" vertical="center" wrapText="1"/>
      <protection/>
    </xf>
    <xf numFmtId="0" fontId="75" fillId="0" borderId="5" xfId="21" applyFont="1" applyFill="1" applyBorder="1" applyAlignment="1" applyProtection="1">
      <alignment horizontal="center" vertical="center" wrapText="1"/>
      <protection/>
    </xf>
    <xf numFmtId="3" fontId="44" fillId="0" borderId="64" xfId="21" applyNumberFormat="1" applyFont="1" applyFill="1" applyBorder="1" applyAlignment="1" applyProtection="1">
      <alignment horizontal="center" vertical="center" wrapText="1"/>
      <protection/>
    </xf>
    <xf numFmtId="191" fontId="44" fillId="0" borderId="3" xfId="21" applyNumberFormat="1" applyFont="1" applyFill="1" applyBorder="1" applyAlignment="1" applyProtection="1">
      <alignment horizontal="center" vertical="center" wrapText="1"/>
      <protection/>
    </xf>
    <xf numFmtId="0" fontId="37" fillId="0" borderId="0" xfId="21" applyFont="1" applyFill="1">
      <alignment/>
      <protection/>
    </xf>
    <xf numFmtId="0" fontId="44" fillId="14" borderId="13" xfId="21" applyFont="1" applyFill="1" applyBorder="1" applyAlignment="1" applyProtection="1">
      <alignment horizontal="center" vertical="center" wrapText="1"/>
      <protection/>
    </xf>
    <xf numFmtId="0" fontId="44" fillId="14" borderId="64" xfId="21" applyFont="1" applyFill="1" applyBorder="1" applyAlignment="1" applyProtection="1">
      <alignment horizontal="center" vertical="center" wrapText="1"/>
      <protection/>
    </xf>
    <xf numFmtId="191" fontId="44" fillId="14" borderId="3" xfId="21" applyNumberFormat="1" applyFont="1" applyFill="1" applyBorder="1" applyAlignment="1" applyProtection="1">
      <alignment horizontal="center" vertical="center" wrapText="1"/>
      <protection/>
    </xf>
    <xf numFmtId="0" fontId="44" fillId="0" borderId="13" xfId="21" applyFont="1" applyFill="1" applyBorder="1" applyAlignment="1" applyProtection="1">
      <alignment horizontal="center" vertical="center" wrapText="1"/>
      <protection/>
    </xf>
    <xf numFmtId="0" fontId="44" fillId="0" borderId="64" xfId="21" applyFont="1" applyFill="1" applyBorder="1" applyAlignment="1" applyProtection="1">
      <alignment horizontal="center" vertical="center" wrapText="1"/>
      <protection/>
    </xf>
    <xf numFmtId="0" fontId="84" fillId="0" borderId="198" xfId="21" applyFont="1" applyBorder="1" applyAlignment="1" applyProtection="1">
      <alignment horizontal="center" vertical="center" wrapText="1"/>
      <protection/>
    </xf>
    <xf numFmtId="0" fontId="1" fillId="0" borderId="198" xfId="21" applyFont="1" applyBorder="1" applyAlignment="1" applyProtection="1">
      <alignment horizontal="center" vertical="center" wrapText="1"/>
      <protection/>
    </xf>
    <xf numFmtId="164" fontId="56" fillId="11" borderId="196" xfId="21" applyNumberFormat="1" applyFont="1" applyFill="1" applyBorder="1" applyAlignment="1" applyProtection="1">
      <alignment horizontal="center" vertical="center" wrapText="1"/>
      <protection/>
    </xf>
    <xf numFmtId="191" fontId="56" fillId="11" borderId="183" xfId="21" applyNumberFormat="1" applyFont="1" applyFill="1" applyBorder="1" applyAlignment="1" applyProtection="1">
      <alignment horizontal="center" vertical="center"/>
      <protection/>
    </xf>
    <xf numFmtId="42" fontId="56" fillId="11" borderId="183" xfId="21" applyNumberFormat="1" applyFont="1" applyFill="1" applyBorder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left" wrapText="1"/>
      <protection/>
    </xf>
    <xf numFmtId="165" fontId="3" fillId="0" borderId="0" xfId="21" applyNumberFormat="1" applyFont="1" applyBorder="1" applyAlignment="1" applyProtection="1">
      <alignment horizontal="right" vertical="center"/>
      <protection/>
    </xf>
    <xf numFmtId="4" fontId="3" fillId="0" borderId="0" xfId="21" applyNumberFormat="1" applyAlignment="1">
      <alignment horizontal="left" vertical="center" wrapText="1"/>
      <protection/>
    </xf>
    <xf numFmtId="0" fontId="6" fillId="0" borderId="0" xfId="21" applyFont="1" applyBorder="1" applyAlignment="1" applyProtection="1">
      <alignment horizontal="right" wrapText="1"/>
      <protection/>
    </xf>
    <xf numFmtId="165" fontId="6" fillId="0" borderId="0" xfId="21" applyNumberFormat="1" applyFont="1" applyBorder="1" applyAlignment="1" applyProtection="1">
      <alignment horizontal="right" vertical="center"/>
      <protection/>
    </xf>
    <xf numFmtId="0" fontId="6" fillId="0" borderId="10" xfId="21" applyFont="1" applyBorder="1" applyAlignment="1" applyProtection="1">
      <alignment horizontal="left"/>
      <protection/>
    </xf>
    <xf numFmtId="0" fontId="3" fillId="0" borderId="0" xfId="21" applyProtection="1">
      <alignment/>
      <protection/>
    </xf>
    <xf numFmtId="0" fontId="0" fillId="0" borderId="0" xfId="21" applyFont="1" applyAlignment="1" applyProtection="1">
      <alignment horizontal="center"/>
      <protection/>
    </xf>
    <xf numFmtId="0" fontId="3" fillId="0" borderId="0" xfId="21" applyFont="1" applyAlignment="1" applyProtection="1">
      <alignment horizontal="center"/>
      <protection/>
    </xf>
    <xf numFmtId="165" fontId="3" fillId="0" borderId="0" xfId="21" applyNumberFormat="1" applyAlignment="1" applyProtection="1">
      <alignment horizontal="right"/>
      <protection/>
    </xf>
    <xf numFmtId="165" fontId="3" fillId="0" borderId="0" xfId="21" applyNumberFormat="1" applyFont="1" applyAlignment="1" applyProtection="1">
      <alignment horizontal="right"/>
      <protection/>
    </xf>
    <xf numFmtId="165" fontId="3" fillId="0" borderId="6" xfId="21" applyNumberFormat="1" applyFont="1" applyBorder="1" applyAlignment="1" applyProtection="1">
      <alignment horizontal="right"/>
      <protection/>
    </xf>
    <xf numFmtId="0" fontId="0" fillId="0" borderId="0" xfId="21" applyFont="1" applyAlignment="1">
      <alignment horizontal="center"/>
      <protection/>
    </xf>
    <xf numFmtId="0" fontId="3" fillId="0" borderId="0" xfId="2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 applyAlignment="1">
      <alignment horizontal="center" vertical="center"/>
      <protection/>
    </xf>
    <xf numFmtId="0" fontId="6" fillId="0" borderId="10" xfId="21" applyFont="1" applyBorder="1" applyAlignment="1" applyProtection="1">
      <alignment horizontal="left" wrapText="1"/>
      <protection/>
    </xf>
    <xf numFmtId="165" fontId="63" fillId="0" borderId="13" xfId="20" applyNumberFormat="1" applyFont="1" applyBorder="1" applyAlignment="1" applyProtection="1">
      <alignment horizontal="center" vertical="center" wrapText="1"/>
      <protection/>
    </xf>
    <xf numFmtId="165" fontId="63" fillId="0" borderId="3" xfId="20" applyNumberFormat="1" applyFont="1" applyBorder="1" applyAlignment="1" applyProtection="1">
      <alignment horizontal="center" vertical="center" wrapText="1"/>
      <protection/>
    </xf>
    <xf numFmtId="0" fontId="40" fillId="0" borderId="3" xfId="21" applyFont="1" applyBorder="1" applyAlignment="1">
      <alignment horizontal="center" vertical="center" wrapText="1"/>
      <protection/>
    </xf>
    <xf numFmtId="0" fontId="40" fillId="0" borderId="13" xfId="21" applyFont="1" applyBorder="1" applyAlignment="1">
      <alignment horizontal="center" vertical="center" wrapText="1"/>
      <protection/>
    </xf>
    <xf numFmtId="0" fontId="40" fillId="0" borderId="64" xfId="21" applyFont="1" applyBorder="1" applyAlignment="1">
      <alignment horizontal="center" vertical="center" wrapText="1"/>
      <protection/>
    </xf>
    <xf numFmtId="0" fontId="71" fillId="0" borderId="3" xfId="21" applyFont="1" applyBorder="1" applyAlignment="1">
      <alignment horizontal="center" vertical="center" wrapText="1"/>
      <protection/>
    </xf>
    <xf numFmtId="0" fontId="71" fillId="0" borderId="13" xfId="21" applyFont="1" applyBorder="1" applyAlignment="1">
      <alignment horizontal="center" vertical="center" wrapText="1"/>
      <protection/>
    </xf>
    <xf numFmtId="0" fontId="71" fillId="0" borderId="64" xfId="21" applyFont="1" applyBorder="1" applyAlignment="1" quotePrefix="1">
      <alignment horizontal="left" vertical="center" wrapText="1"/>
      <protection/>
    </xf>
    <xf numFmtId="0" fontId="71" fillId="0" borderId="64" xfId="21" applyFont="1" applyBorder="1" applyAlignment="1">
      <alignment horizontal="left" vertical="center" wrapText="1"/>
      <protection/>
    </xf>
    <xf numFmtId="3" fontId="71" fillId="0" borderId="3" xfId="21" applyNumberFormat="1" applyFont="1" applyBorder="1" applyAlignment="1">
      <alignment horizontal="center" vertical="center" wrapText="1"/>
      <protection/>
    </xf>
    <xf numFmtId="0" fontId="71" fillId="0" borderId="11" xfId="21" applyFont="1" applyBorder="1" applyAlignment="1">
      <alignment horizontal="center" vertical="center" wrapText="1"/>
      <protection/>
    </xf>
    <xf numFmtId="0" fontId="71" fillId="0" borderId="140" xfId="21" applyFont="1" applyBorder="1" applyAlignment="1">
      <alignment horizontal="center" vertical="center" wrapText="1"/>
      <protection/>
    </xf>
    <xf numFmtId="0" fontId="71" fillId="0" borderId="68" xfId="21" applyFont="1" applyBorder="1" applyAlignment="1">
      <alignment horizontal="left" vertical="center" wrapText="1"/>
      <protection/>
    </xf>
    <xf numFmtId="3" fontId="40" fillId="0" borderId="11" xfId="21" applyNumberFormat="1" applyFont="1" applyBorder="1" applyAlignment="1">
      <alignment horizontal="center" vertical="center" wrapText="1"/>
      <protection/>
    </xf>
    <xf numFmtId="0" fontId="71" fillId="0" borderId="196" xfId="21" applyFont="1" applyBorder="1">
      <alignment/>
      <protection/>
    </xf>
    <xf numFmtId="0" fontId="71" fillId="0" borderId="197" xfId="21" applyFont="1" applyBorder="1">
      <alignment/>
      <protection/>
    </xf>
    <xf numFmtId="0" fontId="41" fillId="0" borderId="199" xfId="21" applyFont="1" applyBorder="1" applyAlignment="1">
      <alignment horizontal="center" vertical="center" wrapText="1"/>
      <protection/>
    </xf>
    <xf numFmtId="3" fontId="40" fillId="0" borderId="180" xfId="21" applyNumberFormat="1" applyFont="1" applyBorder="1" applyAlignment="1">
      <alignment horizontal="center" vertical="center" wrapText="1"/>
      <protection/>
    </xf>
    <xf numFmtId="0" fontId="71" fillId="0" borderId="0" xfId="21" applyFont="1" applyBorder="1" applyAlignment="1">
      <alignment horizontal="center" vertical="center" wrapText="1"/>
      <protection/>
    </xf>
    <xf numFmtId="0" fontId="71" fillId="0" borderId="0" xfId="21" applyFont="1" applyBorder="1" applyAlignment="1">
      <alignment horizontal="left" vertical="center" wrapText="1"/>
      <protection/>
    </xf>
    <xf numFmtId="3" fontId="40" fillId="0" borderId="0" xfId="21" applyNumberFormat="1" applyFont="1" applyBorder="1" applyAlignment="1">
      <alignment horizontal="center" vertical="center" wrapText="1"/>
      <protection/>
    </xf>
    <xf numFmtId="3" fontId="40" fillId="0" borderId="3" xfId="21" applyNumberFormat="1" applyFont="1" applyBorder="1" applyAlignment="1">
      <alignment horizontal="center" vertical="center" wrapText="1"/>
      <protection/>
    </xf>
    <xf numFmtId="3" fontId="40" fillId="0" borderId="180" xfId="21" applyNumberFormat="1" applyFont="1" applyBorder="1" applyAlignment="1">
      <alignment horizontal="center" vertical="center" wrapText="1"/>
      <protection/>
    </xf>
    <xf numFmtId="0" fontId="40" fillId="0" borderId="0" xfId="21" applyFont="1" applyAlignment="1">
      <alignment horizontal="center" vertical="center" wrapText="1"/>
      <protection/>
    </xf>
    <xf numFmtId="0" fontId="71" fillId="0" borderId="0" xfId="21" applyFont="1">
      <alignment/>
      <protection/>
    </xf>
    <xf numFmtId="0" fontId="40" fillId="0" borderId="0" xfId="21" applyFont="1" applyAlignment="1">
      <alignment horizontal="left" vertical="center" wrapText="1"/>
      <protection/>
    </xf>
    <xf numFmtId="3" fontId="41" fillId="0" borderId="0" xfId="21" applyNumberFormat="1" applyFont="1" applyAlignment="1">
      <alignment horizontal="center" vertical="center" wrapText="1"/>
      <protection/>
    </xf>
    <xf numFmtId="0" fontId="54" fillId="0" borderId="0" xfId="21" applyFont="1">
      <alignment/>
      <protection/>
    </xf>
    <xf numFmtId="0" fontId="71" fillId="0" borderId="0" xfId="21" applyFont="1" applyAlignment="1">
      <alignment horizontal="left" vertical="center" wrapText="1"/>
      <protection/>
    </xf>
    <xf numFmtId="0" fontId="71" fillId="0" borderId="0" xfId="21" applyFont="1" applyAlignment="1" quotePrefix="1">
      <alignment horizontal="left" vertical="center" wrapText="1"/>
      <protection/>
    </xf>
    <xf numFmtId="3" fontId="41" fillId="0" borderId="0" xfId="21" applyNumberFormat="1" applyFont="1" applyAlignment="1">
      <alignment horizontal="center" vertical="center" wrapText="1"/>
      <protection/>
    </xf>
    <xf numFmtId="0" fontId="41" fillId="0" borderId="0" xfId="21" applyFont="1" applyAlignment="1">
      <alignment horizontal="center" vertical="center" wrapText="1"/>
      <protection/>
    </xf>
    <xf numFmtId="3" fontId="71" fillId="0" borderId="0" xfId="21" applyNumberFormat="1" applyFont="1" applyAlignment="1">
      <alignment horizontal="center" vertical="center" wrapText="1"/>
      <protection/>
    </xf>
    <xf numFmtId="0" fontId="3" fillId="0" borderId="0" xfId="24" applyAlignment="1">
      <alignment horizontal="center" wrapText="1"/>
      <protection/>
    </xf>
    <xf numFmtId="0" fontId="3" fillId="0" borderId="0" xfId="24">
      <alignment/>
      <protection/>
    </xf>
    <xf numFmtId="0" fontId="3" fillId="0" borderId="0" xfId="24" applyAlignment="1">
      <alignment horizontal="center" vertical="center"/>
      <protection/>
    </xf>
    <xf numFmtId="0" fontId="41" fillId="0" borderId="0" xfId="24" applyFont="1" applyAlignment="1">
      <alignment horizontal="centerContinuous" vertical="center" wrapText="1"/>
      <protection/>
    </xf>
    <xf numFmtId="0" fontId="3" fillId="0" borderId="0" xfId="24" applyAlignment="1">
      <alignment horizontal="centerContinuous" wrapText="1"/>
      <protection/>
    </xf>
    <xf numFmtId="42" fontId="3" fillId="0" borderId="0" xfId="24" applyNumberFormat="1" applyAlignment="1">
      <alignment horizontal="centerContinuous" wrapText="1"/>
      <protection/>
    </xf>
    <xf numFmtId="0" fontId="71" fillId="0" borderId="0" xfId="24" applyFont="1" applyAlignment="1">
      <alignment horizontal="justify" wrapText="1"/>
      <protection/>
    </xf>
    <xf numFmtId="0" fontId="40" fillId="0" borderId="105" xfId="24" applyFont="1" applyBorder="1" applyAlignment="1">
      <alignment horizontal="center" vertical="center" wrapText="1"/>
      <protection/>
    </xf>
    <xf numFmtId="42" fontId="40" fillId="0" borderId="105" xfId="24" applyNumberFormat="1" applyFont="1" applyBorder="1" applyAlignment="1">
      <alignment horizontal="center" vertical="center" wrapText="1"/>
      <protection/>
    </xf>
    <xf numFmtId="0" fontId="37" fillId="0" borderId="0" xfId="24" applyFont="1">
      <alignment/>
      <protection/>
    </xf>
    <xf numFmtId="0" fontId="37" fillId="0" borderId="0" xfId="24" applyFont="1" applyAlignment="1">
      <alignment horizontal="center" vertical="center"/>
      <protection/>
    </xf>
    <xf numFmtId="0" fontId="71" fillId="0" borderId="105" xfId="24" applyFont="1" applyBorder="1" applyAlignment="1">
      <alignment horizontal="center" vertical="center" wrapText="1"/>
      <protection/>
    </xf>
    <xf numFmtId="0" fontId="10" fillId="0" borderId="105" xfId="31" applyFont="1" applyBorder="1" applyAlignment="1">
      <alignment horizontal="left" vertical="center" wrapText="1"/>
      <protection/>
    </xf>
    <xf numFmtId="44" fontId="10" fillId="0" borderId="105" xfId="31" applyNumberFormat="1" applyFont="1" applyBorder="1" applyAlignment="1">
      <alignment horizontal="right" vertical="center" wrapText="1"/>
      <protection/>
    </xf>
    <xf numFmtId="0" fontId="20" fillId="0" borderId="105" xfId="31" applyFont="1" applyBorder="1" applyAlignment="1">
      <alignment horizontal="left" vertical="center" wrapText="1"/>
      <protection/>
    </xf>
    <xf numFmtId="44" fontId="8" fillId="0" borderId="105" xfId="31" applyNumberFormat="1" applyFont="1" applyBorder="1" applyAlignment="1">
      <alignment horizontal="right" vertical="center" wrapText="1"/>
      <protection/>
    </xf>
    <xf numFmtId="0" fontId="86" fillId="0" borderId="200" xfId="24" applyFont="1" applyBorder="1" applyAlignment="1">
      <alignment horizontal="left" vertical="center"/>
      <protection/>
    </xf>
    <xf numFmtId="0" fontId="87" fillId="0" borderId="201" xfId="24" applyFont="1" applyBorder="1" applyAlignment="1">
      <alignment horizontal="center" vertical="center" wrapText="1"/>
      <protection/>
    </xf>
    <xf numFmtId="44" fontId="88" fillId="0" borderId="202" xfId="24" applyNumberFormat="1" applyFont="1" applyBorder="1" applyAlignment="1">
      <alignment horizontal="center" vertical="center" wrapText="1"/>
      <protection/>
    </xf>
    <xf numFmtId="3" fontId="40" fillId="0" borderId="201" xfId="24" applyNumberFormat="1" applyFont="1" applyBorder="1" applyAlignment="1">
      <alignment horizontal="justify" vertical="center" wrapText="1"/>
      <protection/>
    </xf>
    <xf numFmtId="0" fontId="3" fillId="0" borderId="0" xfId="24" applyAlignment="1">
      <alignment horizontal="center"/>
      <protection/>
    </xf>
    <xf numFmtId="42" fontId="3" fillId="0" borderId="0" xfId="24" applyNumberFormat="1">
      <alignment/>
      <protection/>
    </xf>
    <xf numFmtId="0" fontId="71" fillId="0" borderId="0" xfId="24" applyFont="1" applyAlignment="1">
      <alignment horizontal="justify"/>
      <protection/>
    </xf>
    <xf numFmtId="0" fontId="3" fillId="0" borderId="0" xfId="24" applyAlignment="1">
      <alignment vertical="center" wrapText="1"/>
      <protection/>
    </xf>
    <xf numFmtId="0" fontId="3" fillId="0" borderId="0" xfId="24" applyAlignment="1">
      <alignment horizontal="center" vertical="center" wrapText="1"/>
      <protection/>
    </xf>
    <xf numFmtId="0" fontId="38" fillId="0" borderId="94" xfId="21" applyFont="1" applyBorder="1" applyAlignment="1">
      <alignment horizontal="center" vertical="center" wrapText="1"/>
      <protection/>
    </xf>
    <xf numFmtId="0" fontId="49" fillId="0" borderId="93" xfId="21" applyFont="1" applyBorder="1" applyAlignment="1">
      <alignment horizontal="center" vertical="center" wrapText="1"/>
      <protection/>
    </xf>
    <xf numFmtId="0" fontId="49" fillId="0" borderId="16" xfId="21" applyFont="1" applyBorder="1" applyAlignment="1">
      <alignment horizontal="center" vertical="center" wrapText="1"/>
      <protection/>
    </xf>
    <xf numFmtId="0" fontId="49" fillId="0" borderId="94" xfId="21" applyFont="1" applyBorder="1" applyAlignment="1">
      <alignment horizontal="center" vertical="center" wrapText="1"/>
      <protection/>
    </xf>
    <xf numFmtId="0" fontId="49" fillId="0" borderId="104" xfId="21" applyFont="1" applyBorder="1" applyAlignment="1">
      <alignment horizontal="center" vertical="center" wrapText="1"/>
      <protection/>
    </xf>
    <xf numFmtId="0" fontId="46" fillId="0" borderId="105" xfId="21" applyFont="1" applyBorder="1" applyAlignment="1">
      <alignment horizontal="center" vertical="center" wrapText="1"/>
      <protection/>
    </xf>
    <xf numFmtId="0" fontId="5" fillId="0" borderId="36" xfId="21" applyFont="1" applyBorder="1" applyAlignment="1" quotePrefix="1">
      <alignment horizontal="center" vertical="center" wrapText="1"/>
      <protection/>
    </xf>
    <xf numFmtId="0" fontId="71" fillId="0" borderId="19" xfId="21" applyFont="1" applyBorder="1" applyAlignment="1">
      <alignment horizontal="center" vertical="center" wrapText="1"/>
      <protection/>
    </xf>
    <xf numFmtId="0" fontId="86" fillId="0" borderId="36" xfId="21" applyFont="1" applyBorder="1" applyAlignment="1" quotePrefix="1">
      <alignment horizontal="center" vertical="center" wrapText="1"/>
      <protection/>
    </xf>
    <xf numFmtId="42" fontId="71" fillId="0" borderId="105" xfId="21" applyNumberFormat="1" applyFont="1" applyBorder="1" applyAlignment="1">
      <alignment horizontal="center" vertical="center" wrapText="1"/>
      <protection/>
    </xf>
    <xf numFmtId="42" fontId="71" fillId="0" borderId="17" xfId="21" applyNumberFormat="1" applyFont="1" applyBorder="1" applyAlignment="1">
      <alignment horizontal="center" vertical="center" wrapText="1"/>
      <protection/>
    </xf>
    <xf numFmtId="0" fontId="9" fillId="0" borderId="64" xfId="31" applyFont="1" applyBorder="1" applyAlignment="1">
      <alignment horizontal="center" vertical="center" wrapText="1"/>
      <protection/>
    </xf>
    <xf numFmtId="0" fontId="86" fillId="0" borderId="0" xfId="21" applyFont="1" applyBorder="1" applyAlignment="1">
      <alignment horizontal="center" vertical="center" wrapText="1"/>
      <protection/>
    </xf>
    <xf numFmtId="42" fontId="40" fillId="0" borderId="0" xfId="21" applyNumberFormat="1" applyFont="1" applyBorder="1" applyAlignment="1">
      <alignment horizontal="center" vertical="center" wrapText="1"/>
      <protection/>
    </xf>
    <xf numFmtId="0" fontId="40" fillId="0" borderId="93" xfId="21" applyFont="1" applyBorder="1" applyAlignment="1">
      <alignment horizontal="center" vertical="center" wrapText="1"/>
      <protection/>
    </xf>
    <xf numFmtId="0" fontId="40" fillId="0" borderId="94" xfId="21" applyFont="1" applyBorder="1" applyAlignment="1">
      <alignment horizontal="center" vertical="center" wrapText="1"/>
      <protection/>
    </xf>
    <xf numFmtId="0" fontId="71" fillId="0" borderId="105" xfId="21" applyFont="1" applyBorder="1" applyAlignment="1">
      <alignment horizontal="center" vertical="center" wrapText="1"/>
      <protection/>
    </xf>
    <xf numFmtId="0" fontId="71" fillId="0" borderId="36" xfId="21" applyFont="1" applyBorder="1" applyAlignment="1">
      <alignment horizontal="center" vertical="center" wrapText="1"/>
      <protection/>
    </xf>
    <xf numFmtId="3" fontId="71" fillId="0" borderId="105" xfId="21" applyNumberFormat="1" applyFont="1" applyBorder="1" applyAlignment="1">
      <alignment horizontal="center" vertical="center" wrapText="1"/>
      <protection/>
    </xf>
    <xf numFmtId="3" fontId="54" fillId="0" borderId="105" xfId="21" applyNumberFormat="1" applyFont="1" applyBorder="1" applyAlignment="1">
      <alignment horizontal="center" vertical="center" wrapText="1"/>
      <protection/>
    </xf>
    <xf numFmtId="0" fontId="71" fillId="0" borderId="36" xfId="21" applyFont="1" applyBorder="1" applyAlignment="1" quotePrefix="1">
      <alignment horizontal="center" vertical="center" wrapText="1"/>
      <protection/>
    </xf>
    <xf numFmtId="0" fontId="86" fillId="0" borderId="200" xfId="21" applyFont="1" applyBorder="1" applyAlignment="1">
      <alignment horizontal="center" vertical="center" wrapText="1"/>
      <protection/>
    </xf>
    <xf numFmtId="0" fontId="90" fillId="0" borderId="201" xfId="21" applyFont="1" applyBorder="1" applyAlignment="1">
      <alignment horizontal="centerContinuous" vertical="center" wrapText="1"/>
      <protection/>
    </xf>
    <xf numFmtId="0" fontId="3" fillId="0" borderId="203" xfId="21" applyBorder="1" applyAlignment="1">
      <alignment horizontal="centerContinuous"/>
      <protection/>
    </xf>
    <xf numFmtId="3" fontId="90" fillId="0" borderId="202" xfId="21" applyNumberFormat="1" applyFont="1" applyBorder="1" applyAlignment="1">
      <alignment horizontal="center" vertical="center" wrapText="1"/>
      <protection/>
    </xf>
    <xf numFmtId="0" fontId="54" fillId="0" borderId="0" xfId="22" applyFont="1" applyAlignment="1">
      <alignment horizontal="center" vertical="center"/>
      <protection/>
    </xf>
    <xf numFmtId="0" fontId="40" fillId="0" borderId="105" xfId="22" applyFont="1" applyBorder="1" applyAlignment="1">
      <alignment horizontal="center" vertical="center"/>
      <protection/>
    </xf>
    <xf numFmtId="0" fontId="40" fillId="0" borderId="19" xfId="22" applyFont="1" applyBorder="1" applyAlignment="1">
      <alignment horizontal="center" vertical="center"/>
      <protection/>
    </xf>
    <xf numFmtId="0" fontId="40" fillId="0" borderId="36" xfId="22" applyFont="1" applyBorder="1" applyAlignment="1">
      <alignment horizontal="center" vertical="center"/>
      <protection/>
    </xf>
    <xf numFmtId="42" fontId="40" fillId="0" borderId="36" xfId="22" applyNumberFormat="1" applyFont="1" applyBorder="1" applyAlignment="1">
      <alignment horizontal="center" vertical="center"/>
      <protection/>
    </xf>
    <xf numFmtId="0" fontId="38" fillId="0" borderId="7" xfId="22" applyFont="1" applyBorder="1" applyAlignment="1">
      <alignment horizontal="center" vertical="center"/>
      <protection/>
    </xf>
    <xf numFmtId="0" fontId="38" fillId="0" borderId="0" xfId="22" applyFont="1" applyAlignment="1">
      <alignment horizontal="center" vertical="center"/>
      <protection/>
    </xf>
    <xf numFmtId="0" fontId="40" fillId="0" borderId="9" xfId="22" applyFont="1" applyBorder="1" applyAlignment="1">
      <alignment horizontal="left" vertical="center"/>
      <protection/>
    </xf>
    <xf numFmtId="42" fontId="40" fillId="0" borderId="9" xfId="22" applyNumberFormat="1" applyFont="1" applyBorder="1" applyAlignment="1">
      <alignment horizontal="center" vertical="center"/>
      <protection/>
    </xf>
    <xf numFmtId="0" fontId="54" fillId="0" borderId="9" xfId="22" applyFont="1" applyBorder="1" applyAlignment="1">
      <alignment horizontal="center" vertical="center"/>
      <protection/>
    </xf>
    <xf numFmtId="0" fontId="54" fillId="0" borderId="7" xfId="22" applyFont="1" applyBorder="1" applyAlignment="1">
      <alignment horizontal="center" vertical="center"/>
      <protection/>
    </xf>
    <xf numFmtId="0" fontId="46" fillId="0" borderId="9" xfId="22" applyFont="1" applyBorder="1" applyAlignment="1">
      <alignment horizontal="left" vertical="center" wrapText="1"/>
      <protection/>
    </xf>
    <xf numFmtId="42" fontId="71" fillId="0" borderId="9" xfId="22" applyNumberFormat="1" applyFont="1" applyBorder="1" applyAlignment="1">
      <alignment horizontal="center" vertical="center"/>
      <protection/>
    </xf>
    <xf numFmtId="0" fontId="54" fillId="0" borderId="204" xfId="22" applyFont="1" applyBorder="1" applyAlignment="1">
      <alignment horizontal="center" vertical="center"/>
      <protection/>
    </xf>
    <xf numFmtId="0" fontId="54" fillId="0" borderId="200" xfId="22" applyFont="1" applyBorder="1" applyAlignment="1">
      <alignment horizontal="center" vertical="center"/>
      <protection/>
    </xf>
    <xf numFmtId="0" fontId="80" fillId="0" borderId="201" xfId="22" applyFont="1" applyBorder="1" applyAlignment="1">
      <alignment horizontal="center" vertical="center"/>
      <protection/>
    </xf>
    <xf numFmtId="42" fontId="40" fillId="0" borderId="202" xfId="22" applyNumberFormat="1" applyFont="1" applyBorder="1" applyAlignment="1">
      <alignment horizontal="center" vertical="center"/>
      <protection/>
    </xf>
    <xf numFmtId="0" fontId="54" fillId="0" borderId="202" xfId="22" applyFont="1" applyBorder="1" applyAlignment="1">
      <alignment horizontal="center" vertical="center"/>
      <protection/>
    </xf>
    <xf numFmtId="0" fontId="54" fillId="0" borderId="0" xfId="22" applyFont="1" applyBorder="1" applyAlignment="1">
      <alignment horizontal="center" vertical="center"/>
      <protection/>
    </xf>
    <xf numFmtId="42" fontId="54" fillId="0" borderId="0" xfId="22" applyNumberFormat="1" applyFont="1" applyBorder="1" applyAlignment="1">
      <alignment horizontal="center" vertical="center"/>
      <protection/>
    </xf>
    <xf numFmtId="0" fontId="38" fillId="0" borderId="94" xfId="22" applyFont="1" applyBorder="1" applyAlignment="1">
      <alignment horizontal="center" vertical="center"/>
      <protection/>
    </xf>
    <xf numFmtId="0" fontId="38" fillId="0" borderId="16" xfId="22" applyFont="1" applyBorder="1" applyAlignment="1">
      <alignment horizontal="center" vertical="center"/>
      <protection/>
    </xf>
    <xf numFmtId="0" fontId="40" fillId="0" borderId="93" xfId="22" applyFont="1" applyBorder="1" applyAlignment="1">
      <alignment horizontal="left" vertical="center"/>
      <protection/>
    </xf>
    <xf numFmtId="42" fontId="40" fillId="0" borderId="93" xfId="22" applyNumberFormat="1" applyFont="1" applyBorder="1" applyAlignment="1">
      <alignment horizontal="center" vertical="center"/>
      <protection/>
    </xf>
    <xf numFmtId="0" fontId="54" fillId="0" borderId="93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49" fillId="0" borderId="9" xfId="22" applyFont="1" applyBorder="1" applyAlignment="1">
      <alignment horizontal="left" vertical="center" wrapText="1"/>
      <protection/>
    </xf>
    <xf numFmtId="42" fontId="40" fillId="0" borderId="9" xfId="22" applyNumberFormat="1" applyFont="1" applyBorder="1" applyAlignment="1">
      <alignment horizontal="center" vertical="center"/>
      <protection/>
    </xf>
    <xf numFmtId="0" fontId="38" fillId="0" borderId="9" xfId="22" applyFont="1" applyBorder="1" applyAlignment="1">
      <alignment horizontal="center" vertical="center"/>
      <protection/>
    </xf>
    <xf numFmtId="42" fontId="40" fillId="0" borderId="202" xfId="22" applyNumberFormat="1" applyFont="1" applyBorder="1" applyAlignment="1">
      <alignment horizontal="center" vertical="center"/>
      <protection/>
    </xf>
    <xf numFmtId="42" fontId="54" fillId="0" borderId="0" xfId="22" applyNumberFormat="1" applyFont="1" applyAlignment="1">
      <alignment horizontal="center" vertical="center"/>
      <protection/>
    </xf>
    <xf numFmtId="0" fontId="71" fillId="0" borderId="0" xfId="21" applyFont="1" applyAlignment="1">
      <alignment horizontal="centerContinuous" vertical="center" wrapText="1"/>
      <protection/>
    </xf>
    <xf numFmtId="0" fontId="71" fillId="0" borderId="0" xfId="21" applyFont="1" applyAlignment="1">
      <alignment horizontal="center" vertical="center" wrapText="1"/>
      <protection/>
    </xf>
    <xf numFmtId="0" fontId="54" fillId="0" borderId="94" xfId="21" applyFont="1" applyBorder="1" applyAlignment="1">
      <alignment horizontal="center" vertical="center" wrapText="1"/>
      <protection/>
    </xf>
    <xf numFmtId="0" fontId="71" fillId="0" borderId="94" xfId="21" applyFont="1" applyBorder="1" applyAlignment="1">
      <alignment horizontal="center" vertical="center" wrapText="1"/>
      <protection/>
    </xf>
    <xf numFmtId="0" fontId="54" fillId="0" borderId="69" xfId="21" applyFont="1" applyBorder="1" applyAlignment="1">
      <alignment horizontal="center" vertical="center" wrapText="1"/>
      <protection/>
    </xf>
    <xf numFmtId="0" fontId="54" fillId="0" borderId="73" xfId="21" applyFont="1" applyBorder="1" applyAlignment="1">
      <alignment horizontal="center" vertical="center" wrapText="1"/>
      <protection/>
    </xf>
    <xf numFmtId="0" fontId="71" fillId="0" borderId="93" xfId="21" applyFont="1" applyBorder="1" applyAlignment="1" quotePrefix="1">
      <alignment horizontal="center" vertical="center" wrapText="1"/>
      <protection/>
    </xf>
    <xf numFmtId="0" fontId="71" fillId="0" borderId="93" xfId="21" applyFont="1" applyBorder="1" applyAlignment="1">
      <alignment horizontal="center" vertical="center" wrapText="1"/>
      <protection/>
    </xf>
    <xf numFmtId="3" fontId="71" fillId="0" borderId="94" xfId="21" applyNumberFormat="1" applyFont="1" applyBorder="1" applyAlignment="1">
      <alignment horizontal="center" vertical="center" wrapText="1"/>
      <protection/>
    </xf>
    <xf numFmtId="3" fontId="54" fillId="0" borderId="94" xfId="21" applyNumberFormat="1" applyFont="1" applyBorder="1" applyAlignment="1" quotePrefix="1">
      <alignment horizontal="center" vertical="center" wrapText="1"/>
      <protection/>
    </xf>
    <xf numFmtId="0" fontId="54" fillId="0" borderId="0" xfId="21" applyFont="1" applyAlignment="1">
      <alignment horizontal="center" vertical="center" wrapText="1"/>
      <protection/>
    </xf>
    <xf numFmtId="0" fontId="54" fillId="0" borderId="0" xfId="21" applyFont="1" applyBorder="1" applyAlignment="1">
      <alignment horizontal="center" vertical="center" wrapText="1"/>
      <protection/>
    </xf>
    <xf numFmtId="0" fontId="90" fillId="0" borderId="202" xfId="21" applyFont="1" applyBorder="1" applyAlignment="1">
      <alignment horizontal="center" vertical="center" wrapText="1"/>
      <protection/>
    </xf>
    <xf numFmtId="0" fontId="86" fillId="0" borderId="0" xfId="21" applyFont="1" applyAlignment="1">
      <alignment horizontal="center" vertical="center" wrapText="1"/>
      <protection/>
    </xf>
    <xf numFmtId="0" fontId="59" fillId="0" borderId="200" xfId="21" applyFont="1" applyBorder="1" applyAlignment="1">
      <alignment horizontal="center" vertical="center" wrapText="1"/>
      <protection/>
    </xf>
    <xf numFmtId="0" fontId="85" fillId="0" borderId="201" xfId="21" applyFont="1" applyBorder="1" applyAlignment="1">
      <alignment horizontal="centerContinuous" vertical="center" wrapText="1"/>
      <protection/>
    </xf>
    <xf numFmtId="0" fontId="92" fillId="0" borderId="203" xfId="21" applyFont="1" applyBorder="1" applyAlignment="1">
      <alignment horizontal="centerContinuous"/>
      <protection/>
    </xf>
    <xf numFmtId="3" fontId="85" fillId="0" borderId="202" xfId="21" applyNumberFormat="1" applyFont="1" applyBorder="1" applyAlignment="1">
      <alignment horizontal="center" vertical="center" wrapText="1"/>
      <protection/>
    </xf>
    <xf numFmtId="0" fontId="85" fillId="0" borderId="202" xfId="21" applyFont="1" applyBorder="1" applyAlignment="1">
      <alignment horizontal="center" vertical="center" wrapText="1"/>
      <protection/>
    </xf>
    <xf numFmtId="0" fontId="59" fillId="0" borderId="0" xfId="21" applyFont="1" applyAlignment="1">
      <alignment horizontal="center" vertical="center" wrapText="1"/>
      <protection/>
    </xf>
    <xf numFmtId="0" fontId="38" fillId="0" borderId="94" xfId="0" applyFont="1" applyBorder="1" applyAlignment="1">
      <alignment horizontal="center" vertical="center" wrapText="1"/>
    </xf>
    <xf numFmtId="0" fontId="49" fillId="0" borderId="9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94" xfId="0" applyFont="1" applyBorder="1" applyAlignment="1">
      <alignment horizontal="center" vertical="center" wrapText="1"/>
    </xf>
    <xf numFmtId="0" fontId="46" fillId="0" borderId="105" xfId="0" applyFont="1" applyBorder="1" applyAlignment="1">
      <alignment horizontal="center" vertical="center" wrapText="1"/>
    </xf>
    <xf numFmtId="0" fontId="54" fillId="0" borderId="36" xfId="0" applyFont="1" applyBorder="1" applyAlignment="1" quotePrefix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86" fillId="0" borderId="36" xfId="0" applyFont="1" applyBorder="1" applyAlignment="1">
      <alignment horizontal="center" vertical="center" wrapText="1"/>
    </xf>
    <xf numFmtId="42" fontId="71" fillId="0" borderId="10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42" fontId="88" fillId="0" borderId="0" xfId="0" applyNumberFormat="1" applyFont="1" applyBorder="1" applyAlignment="1">
      <alignment horizontal="center" vertical="center" wrapText="1"/>
    </xf>
    <xf numFmtId="3" fontId="54" fillId="0" borderId="0" xfId="21" applyNumberFormat="1" applyFont="1" applyAlignment="1">
      <alignment horizontal="center" vertical="center" wrapText="1"/>
      <protection/>
    </xf>
    <xf numFmtId="3" fontId="38" fillId="0" borderId="105" xfId="21" applyNumberFormat="1" applyFont="1" applyBorder="1" applyAlignment="1">
      <alignment horizontal="center" vertical="center" wrapText="1"/>
      <protection/>
    </xf>
    <xf numFmtId="3" fontId="38" fillId="0" borderId="17" xfId="21" applyNumberFormat="1" applyFont="1" applyBorder="1" applyAlignment="1">
      <alignment horizontal="center" vertical="center" wrapText="1"/>
      <protection/>
    </xf>
    <xf numFmtId="3" fontId="38" fillId="0" borderId="19" xfId="21" applyNumberFormat="1" applyFont="1" applyBorder="1" applyAlignment="1">
      <alignment horizontal="center" vertical="center" wrapText="1"/>
      <protection/>
    </xf>
    <xf numFmtId="1" fontId="54" fillId="0" borderId="94" xfId="21" applyNumberFormat="1" applyFont="1" applyBorder="1" applyAlignment="1">
      <alignment horizontal="center" vertical="center" wrapText="1"/>
      <protection/>
    </xf>
    <xf numFmtId="3" fontId="54" fillId="0" borderId="0" xfId="21" applyNumberFormat="1" applyFont="1" applyBorder="1" applyAlignment="1">
      <alignment horizontal="center" vertical="center" wrapText="1"/>
      <protection/>
    </xf>
    <xf numFmtId="0" fontId="54" fillId="0" borderId="19" xfId="21" applyNumberFormat="1" applyFont="1" applyFill="1" applyBorder="1" applyAlignment="1" applyProtection="1">
      <alignment horizontal="left" vertical="center" wrapText="1"/>
      <protection/>
    </xf>
    <xf numFmtId="3" fontId="54" fillId="0" borderId="105" xfId="21" applyNumberFormat="1" applyFont="1" applyBorder="1" applyAlignment="1">
      <alignment horizontal="center" vertical="center" wrapText="1"/>
      <protection/>
    </xf>
    <xf numFmtId="3" fontId="54" fillId="0" borderId="17" xfId="21" applyNumberFormat="1" applyFont="1" applyBorder="1" applyAlignment="1">
      <alignment horizontal="center" vertical="center" wrapText="1"/>
      <protection/>
    </xf>
    <xf numFmtId="42" fontId="54" fillId="0" borderId="105" xfId="21" applyNumberFormat="1" applyFont="1" applyBorder="1" applyAlignment="1">
      <alignment horizontal="center" vertical="center" wrapText="1"/>
      <protection/>
    </xf>
    <xf numFmtId="3" fontId="54" fillId="0" borderId="73" xfId="21" applyNumberFormat="1" applyFont="1" applyBorder="1" applyAlignment="1">
      <alignment horizontal="center" vertical="center" wrapText="1"/>
      <protection/>
    </xf>
    <xf numFmtId="1" fontId="54" fillId="0" borderId="105" xfId="21" applyNumberFormat="1" applyFont="1" applyBorder="1" applyAlignment="1">
      <alignment horizontal="center" vertical="center" wrapText="1"/>
      <protection/>
    </xf>
    <xf numFmtId="3" fontId="49" fillId="0" borderId="69" xfId="21" applyNumberFormat="1" applyFont="1" applyBorder="1" applyAlignment="1">
      <alignment horizontal="center" vertical="center" wrapText="1"/>
      <protection/>
    </xf>
    <xf numFmtId="3" fontId="49" fillId="0" borderId="70" xfId="21" applyNumberFormat="1" applyFont="1" applyBorder="1" applyAlignment="1">
      <alignment horizontal="center" vertical="center" wrapText="1"/>
      <protection/>
    </xf>
    <xf numFmtId="42" fontId="49" fillId="0" borderId="73" xfId="21" applyNumberFormat="1" applyFont="1" applyBorder="1" applyAlignment="1">
      <alignment horizontal="center" vertical="center" wrapText="1"/>
      <protection/>
    </xf>
    <xf numFmtId="3" fontId="49" fillId="0" borderId="0" xfId="21" applyNumberFormat="1" applyFont="1" applyAlignment="1">
      <alignment horizontal="center" vertical="center" wrapText="1"/>
      <protection/>
    </xf>
    <xf numFmtId="3" fontId="54" fillId="0" borderId="19" xfId="21" applyNumberFormat="1" applyFont="1" applyBorder="1" applyAlignment="1">
      <alignment horizontal="center" vertical="center" wrapText="1"/>
      <protection/>
    </xf>
    <xf numFmtId="3" fontId="54" fillId="0" borderId="19" xfId="21" applyNumberFormat="1" applyFont="1" applyBorder="1" applyAlignment="1">
      <alignment horizontal="left" vertical="center" wrapText="1"/>
      <protection/>
    </xf>
    <xf numFmtId="1" fontId="54" fillId="0" borderId="19" xfId="21" applyNumberFormat="1" applyFont="1" applyBorder="1" applyAlignment="1">
      <alignment horizontal="center" vertical="center" wrapText="1"/>
      <protection/>
    </xf>
    <xf numFmtId="42" fontId="54" fillId="0" borderId="19" xfId="21" applyNumberFormat="1" applyFont="1" applyBorder="1" applyAlignment="1">
      <alignment horizontal="center" vertical="center" wrapText="1"/>
      <protection/>
    </xf>
    <xf numFmtId="0" fontId="54" fillId="0" borderId="19" xfId="21" applyNumberFormat="1" applyFont="1" applyFill="1" applyBorder="1" applyAlignment="1" applyProtection="1" quotePrefix="1">
      <alignment horizontal="left" vertical="center" wrapText="1"/>
      <protection/>
    </xf>
    <xf numFmtId="3" fontId="38" fillId="0" borderId="202" xfId="21" applyNumberFormat="1" applyFont="1" applyBorder="1" applyAlignment="1">
      <alignment horizontal="center" vertical="center" wrapText="1"/>
      <protection/>
    </xf>
    <xf numFmtId="3" fontId="38" fillId="0" borderId="200" xfId="21" applyNumberFormat="1" applyFont="1" applyBorder="1" applyAlignment="1">
      <alignment horizontal="center" vertical="center" wrapText="1"/>
      <protection/>
    </xf>
    <xf numFmtId="3" fontId="90" fillId="0" borderId="203" xfId="21" applyNumberFormat="1" applyFont="1" applyBorder="1" applyAlignment="1">
      <alignment horizontal="center" vertical="center" wrapText="1"/>
      <protection/>
    </xf>
    <xf numFmtId="3" fontId="38" fillId="0" borderId="201" xfId="21" applyNumberFormat="1" applyFont="1" applyBorder="1" applyAlignment="1">
      <alignment horizontal="center" vertical="center" wrapText="1"/>
      <protection/>
    </xf>
    <xf numFmtId="42" fontId="40" fillId="0" borderId="202" xfId="21" applyNumberFormat="1" applyFont="1" applyBorder="1" applyAlignment="1">
      <alignment horizontal="center" vertical="center" wrapText="1"/>
      <protection/>
    </xf>
    <xf numFmtId="0" fontId="3" fillId="0" borderId="0" xfId="21" applyAlignment="1">
      <alignment horizontal="center" vertical="center"/>
      <protection/>
    </xf>
    <xf numFmtId="3" fontId="54" fillId="0" borderId="94" xfId="21" applyNumberFormat="1" applyFont="1" applyBorder="1" applyAlignment="1">
      <alignment horizontal="center" vertical="center" wrapText="1"/>
      <protection/>
    </xf>
    <xf numFmtId="0" fontId="41" fillId="0" borderId="201" xfId="22" applyFont="1" applyBorder="1" applyAlignment="1">
      <alignment horizontal="center" vertical="center"/>
      <protection/>
    </xf>
    <xf numFmtId="3" fontId="54" fillId="0" borderId="69" xfId="21" applyNumberFormat="1" applyFont="1" applyBorder="1" applyAlignment="1">
      <alignment horizontal="center" vertical="center" wrapText="1"/>
      <protection/>
    </xf>
    <xf numFmtId="3" fontId="54" fillId="0" borderId="70" xfId="21" applyNumberFormat="1" applyFont="1" applyBorder="1" applyAlignment="1">
      <alignment horizontal="left" vertical="center" wrapText="1"/>
      <protection/>
    </xf>
    <xf numFmtId="42" fontId="54" fillId="0" borderId="73" xfId="21" applyNumberFormat="1" applyFont="1" applyBorder="1" applyAlignment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/>
      <protection/>
    </xf>
    <xf numFmtId="3" fontId="41" fillId="0" borderId="4" xfId="31" applyNumberFormat="1" applyFont="1" applyBorder="1" applyAlignment="1">
      <alignment horizontal="right" vertical="center" wrapText="1"/>
      <protection/>
    </xf>
    <xf numFmtId="0" fontId="44" fillId="0" borderId="205" xfId="21" applyFont="1" applyFill="1" applyBorder="1" applyAlignment="1" applyProtection="1">
      <alignment horizontal="center" vertical="center" wrapText="1"/>
      <protection/>
    </xf>
    <xf numFmtId="3" fontId="44" fillId="0" borderId="206" xfId="21" applyNumberFormat="1" applyFont="1" applyFill="1" applyBorder="1" applyAlignment="1" applyProtection="1">
      <alignment horizontal="center" vertical="center" wrapText="1"/>
      <protection/>
    </xf>
    <xf numFmtId="3" fontId="44" fillId="0" borderId="207" xfId="21" applyNumberFormat="1" applyFont="1" applyFill="1" applyBorder="1" applyAlignment="1" applyProtection="1">
      <alignment horizontal="center" vertical="center" wrapText="1"/>
      <protection/>
    </xf>
    <xf numFmtId="0" fontId="44" fillId="0" borderId="208" xfId="21" applyFont="1" applyFill="1" applyBorder="1" applyAlignment="1" applyProtection="1">
      <alignment horizontal="center" vertical="center" wrapText="1"/>
      <protection/>
    </xf>
    <xf numFmtId="191" fontId="44" fillId="0" borderId="206" xfId="21" applyNumberFormat="1" applyFont="1" applyFill="1" applyBorder="1" applyAlignment="1" applyProtection="1">
      <alignment horizontal="center" vertical="center"/>
      <protection/>
    </xf>
    <xf numFmtId="42" fontId="44" fillId="0" borderId="209" xfId="21" applyNumberFormat="1" applyFont="1" applyFill="1" applyBorder="1" applyAlignment="1" applyProtection="1">
      <alignment horizontal="center" vertical="center"/>
      <protection/>
    </xf>
    <xf numFmtId="0" fontId="44" fillId="0" borderId="210" xfId="21" applyFont="1" applyFill="1" applyBorder="1" applyAlignment="1" applyProtection="1">
      <alignment horizontal="center" vertical="center" wrapText="1"/>
      <protection/>
    </xf>
    <xf numFmtId="42" fontId="44" fillId="0" borderId="211" xfId="21" applyNumberFormat="1" applyFont="1" applyFill="1" applyBorder="1" applyAlignment="1" applyProtection="1">
      <alignment horizontal="center" vertical="center" wrapText="1"/>
      <protection/>
    </xf>
    <xf numFmtId="0" fontId="44" fillId="14" borderId="210" xfId="21" applyFont="1" applyFill="1" applyBorder="1" applyAlignment="1" applyProtection="1">
      <alignment horizontal="center" vertical="center" wrapText="1"/>
      <protection/>
    </xf>
    <xf numFmtId="42" fontId="44" fillId="14" borderId="211" xfId="21" applyNumberFormat="1" applyFont="1" applyFill="1" applyBorder="1" applyAlignment="1" applyProtection="1">
      <alignment horizontal="center" vertical="center" wrapText="1"/>
      <protection/>
    </xf>
    <xf numFmtId="0" fontId="44" fillId="0" borderId="212" xfId="21" applyFont="1" applyFill="1" applyBorder="1" applyAlignment="1" applyProtection="1">
      <alignment horizontal="center" vertical="center" wrapText="1"/>
      <protection/>
    </xf>
    <xf numFmtId="0" fontId="44" fillId="0" borderId="213" xfId="21" applyFont="1" applyFill="1" applyBorder="1" applyAlignment="1" applyProtection="1">
      <alignment horizontal="center" vertical="center" wrapText="1"/>
      <protection/>
    </xf>
    <xf numFmtId="0" fontId="44" fillId="0" borderId="214" xfId="21" applyFont="1" applyFill="1" applyBorder="1" applyAlignment="1" applyProtection="1">
      <alignment horizontal="center" vertical="center" wrapText="1"/>
      <protection/>
    </xf>
    <xf numFmtId="0" fontId="44" fillId="0" borderId="215" xfId="21" applyFont="1" applyFill="1" applyBorder="1" applyAlignment="1" applyProtection="1">
      <alignment horizontal="center" vertical="center" wrapText="1"/>
      <protection/>
    </xf>
    <xf numFmtId="0" fontId="44" fillId="0" borderId="216" xfId="21" applyFont="1" applyFill="1" applyBorder="1" applyAlignment="1" applyProtection="1">
      <alignment horizontal="center" vertical="center" wrapText="1"/>
      <protection/>
    </xf>
    <xf numFmtId="191" fontId="44" fillId="0" borderId="213" xfId="21" applyNumberFormat="1" applyFont="1" applyFill="1" applyBorder="1" applyAlignment="1" applyProtection="1">
      <alignment horizontal="center" vertical="center" wrapText="1"/>
      <protection/>
    </xf>
    <xf numFmtId="42" fontId="44" fillId="0" borderId="217" xfId="21" applyNumberFormat="1" applyFont="1" applyFill="1" applyBorder="1" applyAlignment="1" applyProtection="1">
      <alignment horizontal="center" vertical="center" wrapText="1"/>
      <protection/>
    </xf>
    <xf numFmtId="0" fontId="80" fillId="0" borderId="0" xfId="31" applyFont="1" applyFill="1" applyBorder="1" applyAlignment="1">
      <alignment horizontal="center" vertical="center" wrapText="1"/>
      <protection/>
    </xf>
    <xf numFmtId="0" fontId="14" fillId="0" borderId="105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left" vertical="center" wrapText="1"/>
    </xf>
    <xf numFmtId="3" fontId="14" fillId="0" borderId="105" xfId="0" applyNumberFormat="1" applyFont="1" applyBorder="1" applyAlignment="1">
      <alignment horizontal="center" vertical="center" wrapText="1"/>
    </xf>
    <xf numFmtId="3" fontId="9" fillId="0" borderId="10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5" xfId="0" applyFont="1" applyBorder="1" applyAlignment="1">
      <alignment horizontal="center" vertical="center" wrapText="1"/>
    </xf>
    <xf numFmtId="0" fontId="9" fillId="0" borderId="105" xfId="0" applyFont="1" applyBorder="1" applyAlignment="1">
      <alignment horizontal="left" vertical="center" wrapText="1"/>
    </xf>
    <xf numFmtId="0" fontId="14" fillId="0" borderId="105" xfId="0" applyFont="1" applyFill="1" applyBorder="1" applyAlignment="1">
      <alignment horizontal="center" vertical="center" wrapText="1"/>
    </xf>
    <xf numFmtId="10" fontId="94" fillId="0" borderId="105" xfId="0" applyNumberFormat="1" applyFont="1" applyBorder="1" applyAlignment="1">
      <alignment horizontal="center" vertical="center" wrapText="1"/>
    </xf>
    <xf numFmtId="3" fontId="93" fillId="0" borderId="105" xfId="0" applyNumberFormat="1" applyFont="1" applyBorder="1" applyAlignment="1">
      <alignment horizontal="center" vertical="center" wrapText="1"/>
    </xf>
    <xf numFmtId="0" fontId="46" fillId="0" borderId="2" xfId="31" applyFont="1" applyBorder="1" applyAlignment="1">
      <alignment horizontal="left" vertical="center" wrapText="1"/>
      <protection/>
    </xf>
    <xf numFmtId="0" fontId="46" fillId="0" borderId="39" xfId="0" applyFont="1" applyBorder="1" applyAlignment="1" quotePrefix="1">
      <alignment horizontal="center" vertical="center" wrapText="1"/>
    </xf>
    <xf numFmtId="3" fontId="46" fillId="0" borderId="39" xfId="0" applyNumberFormat="1" applyFont="1" applyBorder="1" applyAlignment="1">
      <alignment horizontal="right" vertical="center" wrapText="1"/>
    </xf>
    <xf numFmtId="0" fontId="46" fillId="0" borderId="39" xfId="0" applyFont="1" applyBorder="1" applyAlignment="1">
      <alignment horizontal="left" vertical="center" wrapText="1"/>
    </xf>
    <xf numFmtId="0" fontId="20" fillId="0" borderId="0" xfId="31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vertical="center"/>
      <protection/>
    </xf>
    <xf numFmtId="0" fontId="16" fillId="0" borderId="0" xfId="25" applyFont="1" applyBorder="1" applyAlignment="1">
      <alignment vertical="center"/>
      <protection/>
    </xf>
    <xf numFmtId="1" fontId="22" fillId="5" borderId="163" xfId="28" applyNumberFormat="1" applyFont="1" applyFill="1" applyBorder="1" applyAlignment="1">
      <alignment horizontal="center" vertical="center" wrapText="1"/>
      <protection/>
    </xf>
    <xf numFmtId="0" fontId="22" fillId="4" borderId="19" xfId="31" applyFont="1" applyFill="1" applyBorder="1" applyAlignment="1">
      <alignment horizontal="left" vertical="center" wrapText="1"/>
      <protection/>
    </xf>
    <xf numFmtId="4" fontId="22" fillId="5" borderId="33" xfId="28" applyNumberFormat="1" applyFont="1" applyFill="1" applyBorder="1" applyAlignment="1">
      <alignment vertical="center" wrapText="1"/>
      <protection/>
    </xf>
    <xf numFmtId="4" fontId="22" fillId="5" borderId="123" xfId="28" applyNumberFormat="1" applyFont="1" applyFill="1" applyBorder="1" applyAlignment="1">
      <alignment vertical="center" wrapText="1"/>
      <protection/>
    </xf>
    <xf numFmtId="4" fontId="22" fillId="5" borderId="76" xfId="28" applyNumberFormat="1" applyFont="1" applyFill="1" applyBorder="1" applyAlignment="1">
      <alignment vertical="center" wrapText="1"/>
      <protection/>
    </xf>
    <xf numFmtId="4" fontId="22" fillId="5" borderId="146" xfId="28" applyNumberFormat="1" applyFont="1" applyFill="1" applyBorder="1" applyAlignment="1">
      <alignment vertical="center" wrapText="1"/>
      <protection/>
    </xf>
    <xf numFmtId="4" fontId="23" fillId="0" borderId="4" xfId="29" applyNumberFormat="1" applyFont="1" applyFill="1" applyBorder="1" applyAlignment="1" applyProtection="1">
      <alignment horizontal="right" vertical="center" wrapText="1"/>
      <protection/>
    </xf>
    <xf numFmtId="4" fontId="23" fillId="0" borderId="6" xfId="29" applyNumberFormat="1" applyFont="1" applyFill="1" applyBorder="1" applyAlignment="1" applyProtection="1">
      <alignment horizontal="right" vertical="center" wrapText="1"/>
      <protection/>
    </xf>
    <xf numFmtId="0" fontId="95" fillId="0" borderId="0" xfId="28" applyFont="1" applyFill="1" applyBorder="1" applyAlignment="1">
      <alignment horizontal="left" vertical="center" wrapText="1"/>
      <protection/>
    </xf>
    <xf numFmtId="0" fontId="28" fillId="0" borderId="0" xfId="28" applyFont="1" applyFill="1" applyBorder="1" applyAlignment="1" quotePrefix="1">
      <alignment horizontal="left" vertical="center" wrapText="1"/>
      <protection/>
    </xf>
    <xf numFmtId="4" fontId="95" fillId="0" borderId="4" xfId="28" applyNumberFormat="1" applyFont="1" applyFill="1" applyBorder="1" applyAlignment="1">
      <alignment horizontal="left" vertical="center" wrapText="1"/>
      <protection/>
    </xf>
    <xf numFmtId="4" fontId="95" fillId="0" borderId="0" xfId="28" applyNumberFormat="1" applyFont="1" applyFill="1" applyBorder="1" applyAlignment="1">
      <alignment horizontal="left" vertical="center" wrapText="1"/>
      <protection/>
    </xf>
    <xf numFmtId="4" fontId="95" fillId="0" borderId="7" xfId="28" applyNumberFormat="1" applyFont="1" applyFill="1" applyBorder="1" applyAlignment="1">
      <alignment horizontal="left" vertical="center" wrapText="1"/>
      <protection/>
    </xf>
    <xf numFmtId="0" fontId="23" fillId="0" borderId="22" xfId="20" applyFont="1" applyBorder="1" applyAlignment="1" applyProtection="1">
      <alignment horizontal="left" vertical="center"/>
      <protection/>
    </xf>
    <xf numFmtId="4" fontId="23" fillId="0" borderId="9" xfId="20" applyNumberFormat="1" applyFont="1" applyBorder="1" applyAlignment="1" applyProtection="1">
      <alignment horizontal="left" vertical="center" wrapText="1"/>
      <protection/>
    </xf>
    <xf numFmtId="4" fontId="23" fillId="0" borderId="9" xfId="20" applyNumberFormat="1" applyFont="1" applyBorder="1" applyAlignment="1" applyProtection="1">
      <alignment horizontal="right" vertical="center" wrapText="1"/>
      <protection/>
    </xf>
    <xf numFmtId="4" fontId="23" fillId="0" borderId="6" xfId="20" applyNumberFormat="1" applyFont="1" applyBorder="1" applyAlignment="1" applyProtection="1">
      <alignment horizontal="right" vertical="center"/>
      <protection/>
    </xf>
    <xf numFmtId="0" fontId="10" fillId="0" borderId="164" xfId="0" applyNumberFormat="1" applyFont="1" applyFill="1" applyBorder="1" applyAlignment="1" applyProtection="1">
      <alignment horizontal="center" vertical="center"/>
      <protection/>
    </xf>
    <xf numFmtId="0" fontId="23" fillId="0" borderId="58" xfId="0" applyNumberFormat="1" applyFont="1" applyFill="1" applyBorder="1" applyAlignment="1" applyProtection="1">
      <alignment horizontal="center" vertical="center"/>
      <protection/>
    </xf>
    <xf numFmtId="0" fontId="23" fillId="0" borderId="58" xfId="0" applyNumberFormat="1" applyFont="1" applyFill="1" applyBorder="1" applyAlignment="1" applyProtection="1">
      <alignment horizontal="left" vertical="center" wrapText="1"/>
      <protection/>
    </xf>
    <xf numFmtId="4" fontId="23" fillId="0" borderId="59" xfId="31" applyNumberFormat="1" applyFont="1" applyBorder="1" applyAlignment="1">
      <alignment horizontal="right" vertical="center"/>
      <protection/>
    </xf>
    <xf numFmtId="4" fontId="23" fillId="0" borderId="60" xfId="20" applyNumberFormat="1" applyFont="1" applyBorder="1" applyAlignment="1" applyProtection="1">
      <alignment horizontal="right" vertical="center" wrapText="1"/>
      <protection/>
    </xf>
    <xf numFmtId="0" fontId="0" fillId="0" borderId="4" xfId="0" applyBorder="1" applyAlignment="1" applyProtection="1">
      <alignment horizontal="left" vertical="center"/>
      <protection/>
    </xf>
    <xf numFmtId="1" fontId="53" fillId="0" borderId="169" xfId="31" applyNumberFormat="1" applyFont="1" applyBorder="1" applyAlignment="1">
      <alignment horizontal="center" vertical="center" wrapText="1"/>
      <protection/>
    </xf>
    <xf numFmtId="1" fontId="54" fillId="0" borderId="94" xfId="21" applyNumberFormat="1" applyFont="1" applyBorder="1" applyAlignment="1" quotePrefix="1">
      <alignment horizontal="center" vertical="center" wrapText="1"/>
      <protection/>
    </xf>
    <xf numFmtId="0" fontId="44" fillId="2" borderId="82" xfId="15" applyFont="1" applyBorder="1" applyAlignment="1">
      <alignment horizontal="center" vertical="center" wrapText="1"/>
      <protection/>
    </xf>
    <xf numFmtId="0" fontId="3" fillId="0" borderId="0" xfId="21" applyAlignment="1">
      <alignment horizontal="center" wrapText="1"/>
      <protection/>
    </xf>
    <xf numFmtId="0" fontId="84" fillId="2" borderId="105" xfId="0" applyFont="1" applyFill="1" applyBorder="1" applyAlignment="1">
      <alignment horizontal="center" vertical="center" wrapText="1"/>
    </xf>
    <xf numFmtId="0" fontId="1" fillId="0" borderId="68" xfId="21" applyFont="1" applyBorder="1" applyAlignment="1" applyProtection="1">
      <alignment horizontal="center" vertical="center"/>
      <protection/>
    </xf>
    <xf numFmtId="0" fontId="1" fillId="0" borderId="37" xfId="21" applyFont="1" applyBorder="1" applyAlignment="1" applyProtection="1">
      <alignment horizontal="center" vertical="center"/>
      <protection/>
    </xf>
    <xf numFmtId="0" fontId="0" fillId="0" borderId="11" xfId="21" applyFont="1" applyBorder="1" applyAlignment="1" applyProtection="1">
      <alignment horizontal="center" vertical="center"/>
      <protection/>
    </xf>
    <xf numFmtId="0" fontId="0" fillId="0" borderId="12" xfId="21" applyFont="1" applyBorder="1" applyAlignment="1" applyProtection="1">
      <alignment horizontal="center" vertical="center"/>
      <protection/>
    </xf>
    <xf numFmtId="0" fontId="83" fillId="0" borderId="0" xfId="21" applyFont="1" applyAlignment="1" applyProtection="1" quotePrefix="1">
      <alignment horizontal="center" vertical="center" wrapText="1"/>
      <protection/>
    </xf>
    <xf numFmtId="0" fontId="85" fillId="0" borderId="0" xfId="21" applyFont="1" applyAlignment="1">
      <alignment horizontal="center" vertical="center" wrapText="1"/>
      <protection/>
    </xf>
    <xf numFmtId="1" fontId="23" fillId="0" borderId="7" xfId="20" applyNumberFormat="1" applyFont="1" applyBorder="1" applyAlignment="1" applyProtection="1">
      <alignment horizontal="left" vertical="center"/>
      <protection/>
    </xf>
    <xf numFmtId="0" fontId="9" fillId="0" borderId="38" xfId="20" applyFont="1" applyBorder="1" applyAlignment="1">
      <alignment horizontal="left" vertical="center"/>
      <protection/>
    </xf>
    <xf numFmtId="4" fontId="23" fillId="0" borderId="56" xfId="20" applyNumberFormat="1" applyFont="1" applyBorder="1" applyAlignment="1" applyProtection="1">
      <alignment horizontal="right" vertical="center"/>
      <protection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0" fillId="0" borderId="105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8" xfId="0" applyFont="1" applyBorder="1" applyAlignment="1">
      <alignment vertical="center"/>
    </xf>
    <xf numFmtId="0" fontId="13" fillId="0" borderId="88" xfId="0" applyFont="1" applyBorder="1" applyAlignment="1">
      <alignment vertical="center" wrapText="1"/>
    </xf>
    <xf numFmtId="3" fontId="13" fillId="0" borderId="88" xfId="0" applyNumberFormat="1" applyFont="1" applyBorder="1" applyAlignment="1">
      <alignment vertical="center"/>
    </xf>
    <xf numFmtId="3" fontId="13" fillId="0" borderId="88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165" fontId="69" fillId="0" borderId="13" xfId="21" applyNumberFormat="1" applyFont="1" applyBorder="1" applyAlignment="1" applyProtection="1" quotePrefix="1">
      <alignment horizontal="center" vertical="center" wrapText="1"/>
      <protection/>
    </xf>
    <xf numFmtId="0" fontId="69" fillId="0" borderId="1" xfId="21" applyFont="1" applyBorder="1" applyAlignment="1">
      <alignment horizontal="center" wrapText="1"/>
      <protection/>
    </xf>
    <xf numFmtId="0" fontId="13" fillId="0" borderId="47" xfId="0" applyFont="1" applyFill="1" applyBorder="1" applyAlignment="1">
      <alignment vertical="center" wrapText="1"/>
    </xf>
    <xf numFmtId="3" fontId="13" fillId="0" borderId="47" xfId="0" applyNumberFormat="1" applyFont="1" applyFill="1" applyBorder="1" applyAlignment="1">
      <alignment vertical="center"/>
    </xf>
    <xf numFmtId="2" fontId="13" fillId="0" borderId="47" xfId="0" applyNumberFormat="1" applyFont="1" applyFill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3" fontId="13" fillId="0" borderId="47" xfId="0" applyNumberFormat="1" applyFont="1" applyBorder="1" applyAlignment="1">
      <alignment vertical="center"/>
    </xf>
    <xf numFmtId="2" fontId="13" fillId="0" borderId="47" xfId="0" applyNumberFormat="1" applyFont="1" applyBorder="1" applyAlignment="1">
      <alignment vertical="center" wrapText="1"/>
    </xf>
    <xf numFmtId="0" fontId="13" fillId="0" borderId="218" xfId="0" applyFont="1" applyBorder="1" applyAlignment="1">
      <alignment horizontal="center" vertical="center"/>
    </xf>
    <xf numFmtId="0" fontId="13" fillId="0" borderId="218" xfId="0" applyFont="1" applyBorder="1" applyAlignment="1">
      <alignment vertical="center"/>
    </xf>
    <xf numFmtId="0" fontId="13" fillId="0" borderId="218" xfId="0" applyFont="1" applyBorder="1" applyAlignment="1">
      <alignment vertical="center" wrapText="1"/>
    </xf>
    <xf numFmtId="3" fontId="13" fillId="0" borderId="218" xfId="0" applyNumberFormat="1" applyFont="1" applyFill="1" applyBorder="1" applyAlignment="1">
      <alignment vertical="center"/>
    </xf>
    <xf numFmtId="2" fontId="13" fillId="0" borderId="218" xfId="0" applyNumberFormat="1" applyFont="1" applyFill="1" applyBorder="1" applyAlignment="1">
      <alignment vertical="center" wrapText="1"/>
    </xf>
    <xf numFmtId="3" fontId="13" fillId="0" borderId="105" xfId="0" applyNumberFormat="1" applyFont="1" applyBorder="1" applyAlignment="1">
      <alignment vertical="center"/>
    </xf>
    <xf numFmtId="3" fontId="96" fillId="0" borderId="105" xfId="0" applyNumberFormat="1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0" fontId="96" fillId="0" borderId="105" xfId="0" applyFont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48" fillId="0" borderId="0" xfId="31" applyFont="1" applyBorder="1" applyAlignment="1" quotePrefix="1">
      <alignment horizontal="left" vertical="center" wrapText="1"/>
      <protection/>
    </xf>
    <xf numFmtId="0" fontId="48" fillId="0" borderId="0" xfId="31" applyFont="1" applyBorder="1" applyAlignment="1">
      <alignment horizontal="left" vertical="center" wrapText="1"/>
      <protection/>
    </xf>
    <xf numFmtId="0" fontId="48" fillId="0" borderId="6" xfId="31" applyFont="1" applyBorder="1" applyAlignment="1">
      <alignment horizontal="left" vertical="center" wrapText="1"/>
      <protection/>
    </xf>
    <xf numFmtId="0" fontId="48" fillId="0" borderId="176" xfId="31" applyFont="1" applyBorder="1" applyAlignment="1" quotePrefix="1">
      <alignment horizontal="left" vertical="center" wrapText="1"/>
      <protection/>
    </xf>
    <xf numFmtId="0" fontId="48" fillId="0" borderId="176" xfId="31" applyFont="1" applyBorder="1" applyAlignment="1">
      <alignment horizontal="left" vertical="center" wrapText="1"/>
      <protection/>
    </xf>
    <xf numFmtId="0" fontId="48" fillId="0" borderId="178" xfId="31" applyFont="1" applyBorder="1" applyAlignment="1">
      <alignment horizontal="left" vertical="center" wrapText="1"/>
      <protection/>
    </xf>
    <xf numFmtId="164" fontId="38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164" fontId="40" fillId="0" borderId="68" xfId="0" applyNumberFormat="1" applyFont="1" applyBorder="1" applyAlignment="1" applyProtection="1">
      <alignment horizontal="center" vertical="center" wrapText="1"/>
      <protection/>
    </xf>
    <xf numFmtId="0" fontId="37" fillId="0" borderId="37" xfId="0" applyFont="1" applyBorder="1" applyAlignment="1">
      <alignment horizontal="center" vertical="center" wrapText="1"/>
    </xf>
    <xf numFmtId="1" fontId="39" fillId="0" borderId="11" xfId="0" applyNumberFormat="1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8" fillId="0" borderId="5" xfId="31" applyFont="1" applyBorder="1" applyAlignment="1" quotePrefix="1">
      <alignment horizontal="left" vertical="center" wrapText="1"/>
      <protection/>
    </xf>
    <xf numFmtId="0" fontId="48" fillId="0" borderId="5" xfId="31" applyFont="1" applyBorder="1" applyAlignment="1">
      <alignment horizontal="left" vertical="center" wrapText="1"/>
      <protection/>
    </xf>
    <xf numFmtId="0" fontId="48" fillId="0" borderId="37" xfId="31" applyFont="1" applyBorder="1" applyAlignment="1">
      <alignment horizontal="left" vertical="center" wrapText="1"/>
      <protection/>
    </xf>
    <xf numFmtId="0" fontId="96" fillId="0" borderId="105" xfId="0" applyFont="1" applyBorder="1" applyAlignment="1">
      <alignment horizontal="left" vertical="center"/>
    </xf>
    <xf numFmtId="0" fontId="84" fillId="2" borderId="10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3" fontId="49" fillId="0" borderId="70" xfId="21" applyNumberFormat="1" applyFont="1" applyBorder="1" applyAlignment="1">
      <alignment horizontal="center" vertical="center" wrapText="1"/>
      <protection/>
    </xf>
    <xf numFmtId="3" fontId="49" fillId="0" borderId="72" xfId="21" applyNumberFormat="1" applyFont="1" applyBorder="1" applyAlignment="1">
      <alignment horizontal="center" vertical="center" wrapText="1"/>
      <protection/>
    </xf>
    <xf numFmtId="3" fontId="41" fillId="0" borderId="0" xfId="21" applyNumberFormat="1" applyFont="1" applyAlignment="1">
      <alignment horizontal="center" vertical="center" wrapText="1"/>
      <protection/>
    </xf>
    <xf numFmtId="0" fontId="3" fillId="0" borderId="0" xfId="21" applyAlignment="1">
      <alignment horizontal="center" vertical="center" wrapText="1"/>
      <protection/>
    </xf>
    <xf numFmtId="0" fontId="41" fillId="0" borderId="0" xfId="0" applyFont="1" applyAlignment="1" quotePrefix="1">
      <alignment horizontal="center" vertical="center" wrapText="1"/>
    </xf>
    <xf numFmtId="0" fontId="0" fillId="0" borderId="0" xfId="0" applyAlignment="1">
      <alignment horizontal="center" wrapText="1"/>
    </xf>
    <xf numFmtId="0" fontId="71" fillId="0" borderId="94" xfId="21" applyFont="1" applyBorder="1" applyAlignment="1">
      <alignment horizontal="center" vertical="center" wrapText="1"/>
      <protection/>
    </xf>
    <xf numFmtId="0" fontId="71" fillId="0" borderId="73" xfId="21" applyFont="1" applyBorder="1" applyAlignment="1">
      <alignment horizontal="center" vertical="center" wrapText="1"/>
      <protection/>
    </xf>
    <xf numFmtId="0" fontId="40" fillId="0" borderId="94" xfId="21" applyFont="1" applyBorder="1" applyAlignment="1">
      <alignment horizontal="center" vertical="center" wrapText="1"/>
      <protection/>
    </xf>
    <xf numFmtId="0" fontId="40" fillId="0" borderId="73" xfId="21" applyFont="1" applyBorder="1" applyAlignment="1">
      <alignment horizontal="center" vertical="center" wrapText="1"/>
      <protection/>
    </xf>
    <xf numFmtId="0" fontId="38" fillId="0" borderId="94" xfId="21" applyFont="1" applyBorder="1" applyAlignment="1">
      <alignment horizontal="center" vertical="center" wrapText="1"/>
      <protection/>
    </xf>
    <xf numFmtId="0" fontId="38" fillId="0" borderId="73" xfId="21" applyFont="1" applyBorder="1" applyAlignment="1">
      <alignment horizontal="center" vertical="center" wrapText="1"/>
      <protection/>
    </xf>
    <xf numFmtId="0" fontId="49" fillId="0" borderId="94" xfId="21" applyFont="1" applyBorder="1" applyAlignment="1">
      <alignment horizontal="center" vertical="center" wrapText="1"/>
      <protection/>
    </xf>
    <xf numFmtId="0" fontId="49" fillId="0" borderId="73" xfId="21" applyFont="1" applyBorder="1" applyAlignment="1">
      <alignment horizontal="center" vertical="center" wrapText="1"/>
      <protection/>
    </xf>
    <xf numFmtId="0" fontId="40" fillId="0" borderId="0" xfId="22" applyFont="1" applyAlignment="1">
      <alignment horizontal="center" vertical="center" wrapText="1"/>
      <protection/>
    </xf>
    <xf numFmtId="0" fontId="77" fillId="0" borderId="0" xfId="22" applyAlignment="1">
      <alignment horizontal="center" vertical="center" wrapText="1"/>
      <protection/>
    </xf>
    <xf numFmtId="0" fontId="90" fillId="0" borderId="0" xfId="21" applyFont="1" applyAlignment="1">
      <alignment horizontal="center" vertical="center" wrapText="1"/>
      <protection/>
    </xf>
    <xf numFmtId="0" fontId="41" fillId="0" borderId="0" xfId="21" applyFont="1" applyAlignment="1" quotePrefix="1">
      <alignment horizontal="center" vertical="center" wrapText="1"/>
      <protection/>
    </xf>
    <xf numFmtId="0" fontId="22" fillId="0" borderId="203" xfId="24" applyFont="1" applyBorder="1" applyAlignment="1">
      <alignment horizontal="center" vertical="center" wrapText="1"/>
      <protection/>
    </xf>
    <xf numFmtId="0" fontId="22" fillId="0" borderId="201" xfId="24" applyFont="1" applyBorder="1" applyAlignment="1">
      <alignment horizontal="center" vertical="center" wrapText="1"/>
      <protection/>
    </xf>
    <xf numFmtId="0" fontId="41" fillId="0" borderId="0" xfId="24" applyFont="1" applyAlignment="1">
      <alignment horizontal="center" vertical="center" wrapText="1"/>
      <protection/>
    </xf>
    <xf numFmtId="0" fontId="3" fillId="0" borderId="0" xfId="24" applyAlignment="1">
      <alignment horizontal="center" wrapText="1"/>
      <protection/>
    </xf>
    <xf numFmtId="0" fontId="8" fillId="0" borderId="17" xfId="31" applyFont="1" applyBorder="1" applyAlignment="1">
      <alignment horizontal="center" vertical="center" wrapText="1"/>
      <protection/>
    </xf>
    <xf numFmtId="0" fontId="8" fillId="0" borderId="19" xfId="31" applyFont="1" applyBorder="1" applyAlignment="1">
      <alignment horizontal="center" vertical="center" wrapText="1"/>
      <protection/>
    </xf>
    <xf numFmtId="0" fontId="8" fillId="0" borderId="36" xfId="31" applyFont="1" applyBorder="1" applyAlignment="1">
      <alignment horizontal="center" vertical="center" wrapText="1"/>
      <protection/>
    </xf>
    <xf numFmtId="0" fontId="9" fillId="0" borderId="104" xfId="20" applyFont="1" applyBorder="1" applyAlignment="1" applyProtection="1">
      <alignment horizontal="center" vertical="center"/>
      <protection/>
    </xf>
    <xf numFmtId="0" fontId="9" fillId="0" borderId="162" xfId="20" applyFont="1" applyBorder="1" applyAlignment="1" applyProtection="1">
      <alignment horizontal="center" vertical="center"/>
      <protection/>
    </xf>
    <xf numFmtId="0" fontId="89" fillId="0" borderId="16" xfId="20" applyFont="1" applyBorder="1" applyAlignment="1" applyProtection="1">
      <alignment horizontal="center" vertical="center"/>
      <protection/>
    </xf>
    <xf numFmtId="0" fontId="89" fillId="0" borderId="5" xfId="20" applyFont="1" applyBorder="1" applyAlignment="1" applyProtection="1">
      <alignment horizontal="center" vertical="center"/>
      <protection/>
    </xf>
    <xf numFmtId="4" fontId="21" fillId="0" borderId="31" xfId="20" applyNumberFormat="1" applyFont="1" applyBorder="1" applyAlignment="1" applyProtection="1">
      <alignment horizontal="center" vertical="center" wrapText="1"/>
      <protection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0" xfId="0" applyFont="1" applyFill="1" applyBorder="1" applyAlignment="1">
      <alignment horizontal="left" vertical="center" wrapText="1"/>
    </xf>
    <xf numFmtId="0" fontId="26" fillId="0" borderId="113" xfId="0" applyFont="1" applyFill="1" applyBorder="1" applyAlignment="1">
      <alignment horizontal="left" vertical="center" wrapText="1"/>
    </xf>
    <xf numFmtId="0" fontId="14" fillId="0" borderId="16" xfId="20" applyFont="1" applyBorder="1" applyAlignment="1" applyProtection="1">
      <alignment horizontal="center" vertical="center"/>
      <protection/>
    </xf>
    <xf numFmtId="0" fontId="14" fillId="0" borderId="5" xfId="20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</cellXfs>
  <cellStyles count="18">
    <cellStyle name="Normal" xfId="0"/>
    <cellStyle name="Dział" xfId="15"/>
    <cellStyle name="Comma" xfId="16"/>
    <cellStyle name="Comma [0]" xfId="17"/>
    <cellStyle name="Hyperlink" xfId="18"/>
    <cellStyle name="Normalny_B-2001" xfId="19"/>
    <cellStyle name="Normalny_B-2001(29.01.2001)" xfId="20"/>
    <cellStyle name="Normalny_B-2006_25_01_2006" xfId="21"/>
    <cellStyle name="Normalny_Kopia Wstępne środki - B-2006 Projekt 15_11_05-W" xfId="22"/>
    <cellStyle name="Normalny_Projekt budżetu 2007 rok" xfId="23"/>
    <cellStyle name="Normalny_załącznik dotacyjny 2007" xfId="24"/>
    <cellStyle name="Normalny_Zeszyt1" xfId="25"/>
    <cellStyle name="Followed Hyperlink" xfId="26"/>
    <cellStyle name="Percent" xfId="27"/>
    <cellStyle name="Rozdział" xfId="28"/>
    <cellStyle name="Currency" xfId="29"/>
    <cellStyle name="Currency [0]" xfId="30"/>
    <cellStyle name="Zadanie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v>Dane A</c:v>
          </c:tx>
          <c:spPr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smCheck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0">
                <a:fgClr>
                  <a:srgbClr val="00FF00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70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pattFill prst="pct50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pattFill prst="smCheck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'[1]Dochody'!#REF!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158</xdr:row>
      <xdr:rowOff>0</xdr:rowOff>
    </xdr:from>
    <xdr:to>
      <xdr:col>7</xdr:col>
      <xdr:colOff>0</xdr:colOff>
      <xdr:row>158</xdr:row>
      <xdr:rowOff>0</xdr:rowOff>
    </xdr:to>
    <xdr:sp fLocksText="0">
      <xdr:nvSpPr>
        <xdr:cNvPr id="1" name="Tekst 31"/>
        <xdr:cNvSpPr txBox="1">
          <a:spLocks noChangeArrowheads="1"/>
        </xdr:cNvSpPr>
      </xdr:nvSpPr>
      <xdr:spPr>
        <a:xfrm>
          <a:off x="9248775" y="8270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(2,2%)
</a:t>
          </a:r>
        </a:p>
      </xdr:txBody>
    </xdr:sp>
    <xdr:clientData fLocksWithSheet="0"/>
  </xdr:twoCellAnchor>
  <xdr:twoCellAnchor>
    <xdr:from>
      <xdr:col>0</xdr:col>
      <xdr:colOff>0</xdr:colOff>
      <xdr:row>166</xdr:row>
      <xdr:rowOff>0</xdr:rowOff>
    </xdr:from>
    <xdr:to>
      <xdr:col>7</xdr:col>
      <xdr:colOff>0</xdr:colOff>
      <xdr:row>166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7963375"/>
          <a:ext cx="9248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158</xdr:row>
      <xdr:rowOff>0</xdr:rowOff>
    </xdr:from>
    <xdr:to>
      <xdr:col>7</xdr:col>
      <xdr:colOff>0</xdr:colOff>
      <xdr:row>158</xdr:row>
      <xdr:rowOff>0</xdr:rowOff>
    </xdr:to>
    <xdr:sp fLocksText="0">
      <xdr:nvSpPr>
        <xdr:cNvPr id="3" name="Tekst 31"/>
        <xdr:cNvSpPr txBox="1">
          <a:spLocks noChangeArrowheads="1"/>
        </xdr:cNvSpPr>
      </xdr:nvSpPr>
      <xdr:spPr>
        <a:xfrm>
          <a:off x="9248775" y="8270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(2,2%)
</a:t>
          </a:r>
        </a:p>
      </xdr:txBody>
    </xdr:sp>
    <xdr:clientData fLocksWithSheet="0"/>
  </xdr:twoCellAnchor>
  <xdr:twoCellAnchor>
    <xdr:from>
      <xdr:col>0</xdr:col>
      <xdr:colOff>0</xdr:colOff>
      <xdr:row>166</xdr:row>
      <xdr:rowOff>0</xdr:rowOff>
    </xdr:from>
    <xdr:to>
      <xdr:col>7</xdr:col>
      <xdr:colOff>0</xdr:colOff>
      <xdr:row>166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7963375"/>
          <a:ext cx="9248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158</xdr:row>
      <xdr:rowOff>0</xdr:rowOff>
    </xdr:from>
    <xdr:to>
      <xdr:col>7</xdr:col>
      <xdr:colOff>0</xdr:colOff>
      <xdr:row>158</xdr:row>
      <xdr:rowOff>0</xdr:rowOff>
    </xdr:to>
    <xdr:sp fLocksText="0">
      <xdr:nvSpPr>
        <xdr:cNvPr id="5" name="Tekst 31"/>
        <xdr:cNvSpPr txBox="1">
          <a:spLocks noChangeArrowheads="1"/>
        </xdr:cNvSpPr>
      </xdr:nvSpPr>
      <xdr:spPr>
        <a:xfrm>
          <a:off x="9248775" y="8270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(2,2%)
</a:t>
          </a:r>
        </a:p>
      </xdr:txBody>
    </xdr:sp>
    <xdr:clientData fLocksWithSheet="0"/>
  </xdr:twoCellAnchor>
  <xdr:twoCellAnchor>
    <xdr:from>
      <xdr:col>0</xdr:col>
      <xdr:colOff>0</xdr:colOff>
      <xdr:row>166</xdr:row>
      <xdr:rowOff>0</xdr:rowOff>
    </xdr:from>
    <xdr:to>
      <xdr:col>7</xdr:col>
      <xdr:colOff>0</xdr:colOff>
      <xdr:row>166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87963375"/>
          <a:ext cx="9248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158</xdr:row>
      <xdr:rowOff>0</xdr:rowOff>
    </xdr:from>
    <xdr:to>
      <xdr:col>7</xdr:col>
      <xdr:colOff>0</xdr:colOff>
      <xdr:row>158</xdr:row>
      <xdr:rowOff>0</xdr:rowOff>
    </xdr:to>
    <xdr:sp fLocksText="0">
      <xdr:nvSpPr>
        <xdr:cNvPr id="7" name="Tekst 31"/>
        <xdr:cNvSpPr txBox="1">
          <a:spLocks noChangeArrowheads="1"/>
        </xdr:cNvSpPr>
      </xdr:nvSpPr>
      <xdr:spPr>
        <a:xfrm>
          <a:off x="9248775" y="8270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(2,2%)
</a:t>
          </a:r>
        </a:p>
      </xdr:txBody>
    </xdr:sp>
    <xdr:clientData fLocksWithSheet="0"/>
  </xdr:twoCellAnchor>
  <xdr:twoCellAnchor>
    <xdr:from>
      <xdr:col>0</xdr:col>
      <xdr:colOff>0</xdr:colOff>
      <xdr:row>166</xdr:row>
      <xdr:rowOff>0</xdr:rowOff>
    </xdr:from>
    <xdr:to>
      <xdr:col>7</xdr:col>
      <xdr:colOff>0</xdr:colOff>
      <xdr:row>166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87963375"/>
          <a:ext cx="9248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189</xdr:row>
      <xdr:rowOff>0</xdr:rowOff>
    </xdr:from>
    <xdr:to>
      <xdr:col>7</xdr:col>
      <xdr:colOff>0</xdr:colOff>
      <xdr:row>189</xdr:row>
      <xdr:rowOff>0</xdr:rowOff>
    </xdr:to>
    <xdr:sp fLocksText="0">
      <xdr:nvSpPr>
        <xdr:cNvPr id="9" name="Tekst 31"/>
        <xdr:cNvSpPr txBox="1">
          <a:spLocks noChangeArrowheads="1"/>
        </xdr:cNvSpPr>
      </xdr:nvSpPr>
      <xdr:spPr>
        <a:xfrm>
          <a:off x="9248775" y="998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(2,2%)
</a:t>
          </a:r>
        </a:p>
      </xdr:txBody>
    </xdr:sp>
    <xdr:clientData fLocksWithSheet="0"/>
  </xdr:twoCellAnchor>
  <xdr:twoCellAnchor>
    <xdr:from>
      <xdr:col>0</xdr:col>
      <xdr:colOff>0</xdr:colOff>
      <xdr:row>189</xdr:row>
      <xdr:rowOff>0</xdr:rowOff>
    </xdr:from>
    <xdr:to>
      <xdr:col>7</xdr:col>
      <xdr:colOff>0</xdr:colOff>
      <xdr:row>189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99822000"/>
          <a:ext cx="9248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189</xdr:row>
      <xdr:rowOff>0</xdr:rowOff>
    </xdr:from>
    <xdr:to>
      <xdr:col>7</xdr:col>
      <xdr:colOff>0</xdr:colOff>
      <xdr:row>189</xdr:row>
      <xdr:rowOff>0</xdr:rowOff>
    </xdr:to>
    <xdr:sp fLocksText="0">
      <xdr:nvSpPr>
        <xdr:cNvPr id="11" name="Tekst 31"/>
        <xdr:cNvSpPr txBox="1">
          <a:spLocks noChangeArrowheads="1"/>
        </xdr:cNvSpPr>
      </xdr:nvSpPr>
      <xdr:spPr>
        <a:xfrm>
          <a:off x="9248775" y="998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(2,2%)
</a:t>
          </a:r>
        </a:p>
      </xdr:txBody>
    </xdr:sp>
    <xdr:clientData fLocksWithSheet="0"/>
  </xdr:twoCellAnchor>
  <xdr:twoCellAnchor>
    <xdr:from>
      <xdr:col>0</xdr:col>
      <xdr:colOff>0</xdr:colOff>
      <xdr:row>189</xdr:row>
      <xdr:rowOff>0</xdr:rowOff>
    </xdr:from>
    <xdr:to>
      <xdr:col>7</xdr:col>
      <xdr:colOff>0</xdr:colOff>
      <xdr:row>189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99822000"/>
          <a:ext cx="9248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158</xdr:row>
      <xdr:rowOff>0</xdr:rowOff>
    </xdr:from>
    <xdr:to>
      <xdr:col>7</xdr:col>
      <xdr:colOff>0</xdr:colOff>
      <xdr:row>158</xdr:row>
      <xdr:rowOff>0</xdr:rowOff>
    </xdr:to>
    <xdr:sp fLocksText="0">
      <xdr:nvSpPr>
        <xdr:cNvPr id="13" name="Tekst 31"/>
        <xdr:cNvSpPr txBox="1">
          <a:spLocks noChangeArrowheads="1"/>
        </xdr:cNvSpPr>
      </xdr:nvSpPr>
      <xdr:spPr>
        <a:xfrm>
          <a:off x="9248775" y="8270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(2,2%)
</a:t>
          </a:r>
        </a:p>
      </xdr:txBody>
    </xdr:sp>
    <xdr:clientData fLocksWithSheet="0"/>
  </xdr:twoCellAnchor>
  <xdr:twoCellAnchor>
    <xdr:from>
      <xdr:col>0</xdr:col>
      <xdr:colOff>0</xdr:colOff>
      <xdr:row>166</xdr:row>
      <xdr:rowOff>0</xdr:rowOff>
    </xdr:from>
    <xdr:to>
      <xdr:col>7</xdr:col>
      <xdr:colOff>0</xdr:colOff>
      <xdr:row>166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87963375"/>
          <a:ext cx="9248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158</xdr:row>
      <xdr:rowOff>0</xdr:rowOff>
    </xdr:from>
    <xdr:to>
      <xdr:col>7</xdr:col>
      <xdr:colOff>0</xdr:colOff>
      <xdr:row>158</xdr:row>
      <xdr:rowOff>0</xdr:rowOff>
    </xdr:to>
    <xdr:sp fLocksText="0">
      <xdr:nvSpPr>
        <xdr:cNvPr id="15" name="Tekst 31"/>
        <xdr:cNvSpPr txBox="1">
          <a:spLocks noChangeArrowheads="1"/>
        </xdr:cNvSpPr>
      </xdr:nvSpPr>
      <xdr:spPr>
        <a:xfrm>
          <a:off x="9248775" y="8270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(2,2%)
</a:t>
          </a:r>
        </a:p>
      </xdr:txBody>
    </xdr:sp>
    <xdr:clientData fLocksWithSheet="0"/>
  </xdr:twoCellAnchor>
  <xdr:twoCellAnchor>
    <xdr:from>
      <xdr:col>0</xdr:col>
      <xdr:colOff>0</xdr:colOff>
      <xdr:row>166</xdr:row>
      <xdr:rowOff>0</xdr:rowOff>
    </xdr:from>
    <xdr:to>
      <xdr:col>7</xdr:col>
      <xdr:colOff>0</xdr:colOff>
      <xdr:row>166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87963375"/>
          <a:ext cx="9248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158</xdr:row>
      <xdr:rowOff>0</xdr:rowOff>
    </xdr:from>
    <xdr:to>
      <xdr:col>7</xdr:col>
      <xdr:colOff>0</xdr:colOff>
      <xdr:row>158</xdr:row>
      <xdr:rowOff>0</xdr:rowOff>
    </xdr:to>
    <xdr:sp fLocksText="0">
      <xdr:nvSpPr>
        <xdr:cNvPr id="17" name="Tekst 31"/>
        <xdr:cNvSpPr txBox="1">
          <a:spLocks noChangeArrowheads="1"/>
        </xdr:cNvSpPr>
      </xdr:nvSpPr>
      <xdr:spPr>
        <a:xfrm>
          <a:off x="9248775" y="8270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(2,2%)
</a:t>
          </a:r>
        </a:p>
      </xdr:txBody>
    </xdr:sp>
    <xdr:clientData fLocksWithSheet="0"/>
  </xdr:twoCellAnchor>
  <xdr:twoCellAnchor>
    <xdr:from>
      <xdr:col>0</xdr:col>
      <xdr:colOff>0</xdr:colOff>
      <xdr:row>166</xdr:row>
      <xdr:rowOff>0</xdr:rowOff>
    </xdr:from>
    <xdr:to>
      <xdr:col>7</xdr:col>
      <xdr:colOff>0</xdr:colOff>
      <xdr:row>166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87963375"/>
          <a:ext cx="9248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158</xdr:row>
      <xdr:rowOff>0</xdr:rowOff>
    </xdr:from>
    <xdr:to>
      <xdr:col>7</xdr:col>
      <xdr:colOff>0</xdr:colOff>
      <xdr:row>158</xdr:row>
      <xdr:rowOff>0</xdr:rowOff>
    </xdr:to>
    <xdr:sp fLocksText="0">
      <xdr:nvSpPr>
        <xdr:cNvPr id="19" name="Tekst 31"/>
        <xdr:cNvSpPr txBox="1">
          <a:spLocks noChangeArrowheads="1"/>
        </xdr:cNvSpPr>
      </xdr:nvSpPr>
      <xdr:spPr>
        <a:xfrm>
          <a:off x="9248775" y="8270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(2,2%)
</a:t>
          </a:r>
        </a:p>
      </xdr:txBody>
    </xdr:sp>
    <xdr:clientData fLocksWithSheet="0"/>
  </xdr:twoCellAnchor>
  <xdr:twoCellAnchor>
    <xdr:from>
      <xdr:col>0</xdr:col>
      <xdr:colOff>0</xdr:colOff>
      <xdr:row>166</xdr:row>
      <xdr:rowOff>0</xdr:rowOff>
    </xdr:from>
    <xdr:to>
      <xdr:col>7</xdr:col>
      <xdr:colOff>0</xdr:colOff>
      <xdr:row>166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87963375"/>
          <a:ext cx="9248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graphicFrame>
      <xdr:nvGraphicFramePr>
        <xdr:cNvPr id="1" name="Chart 1"/>
        <xdr:cNvGraphicFramePr/>
      </xdr:nvGraphicFramePr>
      <xdr:xfrm>
        <a:off x="23736300" y="222913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2" name="Tekst 2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Rezerwa budľetowa 
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3" name="Tekst 3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 OŚWIATA I WYCHOWANIE
—środki  na  wydatki  płacowe i rzeczowe  związane  z  trzy- maniem szk˘ podstawowych, ponadpodstawowych i  prze- dszkoli,  a  takľe  na  remonty szk˘  miejskich i  wiejskich.
Kontynuacja budowy Szkoy Podstawowej Nr 4.
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>
      <xdr:nvSpPr>
        <xdr:cNvPr id="4" name="Line 4"/>
        <xdr:cNvSpPr>
          <a:spLocks/>
        </xdr:cNvSpPr>
      </xdr:nvSpPr>
      <xdr:spPr>
        <a:xfrm>
          <a:off x="23736300" y="222913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5" name="Tekst 5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  OPIEKA SPOťECZNA
—rodki na wypaty zapom˘g oraz na utrzymanie Orodka Pomocy Spoecznej, utrzymanie —rodowiskowego Domu Samopomocy,
rodki na wypat© dodatk˘w mieszkaniowych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>
      <xdr:nvSpPr>
        <xdr:cNvPr id="6" name="Line 6"/>
        <xdr:cNvSpPr>
          <a:spLocks/>
        </xdr:cNvSpPr>
      </xdr:nvSpPr>
      <xdr:spPr>
        <a:xfrm>
          <a:off x="23736300" y="222913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7" name="Tekst 7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OCHRONA ZDROWIA
rodki na remont Przychodni Nr 1 i 2, dofinasowanie Fundacji Na Rzecz Zdrowia, przeciwdziaanie alkoholizmowi.
KULTURA FIZYCZNA, SPORT TURYSTYKA
dofinasowanie dla GKS"G˘rnik", LZS"Sok˘",MGKS"Gwarek",  PZW, imprezy sport.,
akcja "Lato" dla dzieci z rodzin ubogich, zimowiska w szkoach.
Rŕ˝NA DZIAťALNO—Ź
utrzymanie targowisk, zadania z zakresu Obrony Cywilnej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3736300" y="222913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9" name="Tekst 9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 GOSPODARKA MIESZKANIOWA
—rodki na utrzymanie Ochotniczych Straľy Poľarnych.
Opracowania geodezyjne i kartograficzne (regulacja stan˘w prawnych, odszkodowania za pozbawienie uľytkowania, aktualizacja planu og˘lnego, opaty za wyĄczenie z uľytkowania rolniczego).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23736300" y="222913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11" name="Tekst 11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ADMINISTRACJA 
Wydatki pacowe i rzeczowe zwiĄzane z utrzymaniem administracji samorzĄdowej.
Opata obowiĄzkowej skadki na Lubelski Sejmik SamorzĄd.
Utrzymanie Straľy Miejskiej. 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23736300" y="222913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13" name="Tekst 13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KULTURA I SZTUKA
Dotacja dla Miejsko-Gminnej Biblioteki Publicznej.
Dotacja dla Centrum Kultury.
Utrzymanie klub˘w wiejskich.
Finansowanie imprez kulturalnych i  obchod˘w.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3736300" y="222913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15" name="Tekst 15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 ROLNICTWO I LE—NICTWO
Dofinansowanie inwestycji czynowych na terenie gminy
(budowa wodociĄg˘w).
Dofinansowanie wapna nawozowego, wymiany sadzeniak˘w, melioracje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16" name="Tekst 16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GOSPODARKA KOMUNALNA, TRANSPORT
Wydatki zwiĄzane z utrzymaniem mieszkaä komunalnych.
Koszty oczyszczania miasta.
Utrzymanie zieleni w miecie.
Owietlenie ulic.
Utrzymanie, remonty i budowa dr˘g na terenie miasta i gminy.
Remonty i budowa nowych chodnik˘w na terenie miasta.
Utrzymanie kanalizacji deszczowej
Kontynuacja budowy oczyszczalni ciek˘w - w tym cz©ciowa spata kredyt˘w zaciĄgni©tych na tĄ inwestycj©.
Udzia  gminy w budowie wysypiska mieci.
Wyapywanie bezpaäskich ps˘w.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3736300" y="222913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18" name="Tekst 18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 (1,9%)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19" name="Tekst 19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(1,4%)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20" name="Tekst 20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 (8,7%)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21" name="Tekst 21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 (10%)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22" name="Tekst 22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 (1,3%)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23" name="Tekst 23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 (2,3%)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24" name="Tekst 24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 (59,4%)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25" name="Tekst 25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 (0,5%)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 fLocksText="0">
      <xdr:nvSpPr>
        <xdr:cNvPr id="26" name="Tekst 26"/>
        <xdr:cNvSpPr txBox="1">
          <a:spLocks noChangeArrowheads="1"/>
        </xdr:cNvSpPr>
      </xdr:nvSpPr>
      <xdr:spPr>
        <a:xfrm>
          <a:off x="23736300" y="22291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 (14,5%)</a:t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>
      <xdr:nvSpPr>
        <xdr:cNvPr id="27" name="Line 27"/>
        <xdr:cNvSpPr>
          <a:spLocks/>
        </xdr:cNvSpPr>
      </xdr:nvSpPr>
      <xdr:spPr>
        <a:xfrm>
          <a:off x="23736300" y="222913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641</xdr:row>
      <xdr:rowOff>0</xdr:rowOff>
    </xdr:from>
    <xdr:to>
      <xdr:col>13</xdr:col>
      <xdr:colOff>0</xdr:colOff>
      <xdr:row>641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23736300" y="222913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MB97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je%20dokumenty\BUD&#379;ET\UM-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M_LECZNA\SYS\Moje%20dokumenty\BUD&#379;ET\UM-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Pulpit\Moje%20dokumenty\BUD&#379;ET\UM-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M_LECZNA\SYS\Moje%20dokumenty\BUD&#379;ET\UM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Wydatki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hody po KF"/>
      <sheetName val="Wydatki - po KF"/>
      <sheetName val="PLAN FIN.UM-2001 "/>
      <sheetName val="ZADANIA-2001"/>
      <sheetName val="Wydatki"/>
      <sheetName val="Dochody"/>
    </sheetNames>
    <sheetDataSet>
      <sheetData sheetId="5">
        <row r="1">
          <cell r="A1" t="str">
            <v>Lp</v>
          </cell>
          <cell r="B1" t="str">
            <v>Dział</v>
          </cell>
          <cell r="D1" t="str">
            <v>NAZWA DZIAŁU    -  tytuł</v>
          </cell>
        </row>
        <row r="3">
          <cell r="A3">
            <v>1</v>
          </cell>
          <cell r="B3" t="str">
            <v>010</v>
          </cell>
          <cell r="D3" t="str">
            <v>ROLNICTWO I ŁOWIECTWO</v>
          </cell>
        </row>
        <row r="4">
          <cell r="B4" t="str">
            <v>01095</v>
          </cell>
          <cell r="D4" t="str">
            <v>Pozostała działalność</v>
          </cell>
        </row>
        <row r="5">
          <cell r="C5">
            <v>1</v>
          </cell>
          <cell r="D5" t="str">
            <v>Sprzedaż świadectw miejsca pochodzenia zwierząt</v>
          </cell>
        </row>
        <row r="6">
          <cell r="D6" t="str">
            <v>Nie jest wzrost dochodów z tego tytułu w porównaniu do przewidywanego wykonania za 2000 roku</v>
          </cell>
        </row>
        <row r="7">
          <cell r="A7">
            <v>2</v>
          </cell>
          <cell r="B7">
            <v>700</v>
          </cell>
          <cell r="D7" t="str">
            <v>GOSPODARKA MIESZKANIOWA</v>
          </cell>
        </row>
        <row r="8">
          <cell r="B8">
            <v>70005</v>
          </cell>
          <cell r="D8" t="str">
            <v>Gospodarka gruntami i nieruchomościami</v>
          </cell>
        </row>
        <row r="9">
          <cell r="C9">
            <v>1</v>
          </cell>
          <cell r="D9" t="str">
            <v>Wpływy z tytułu najmu lokali użytkowych - czynsze komunalne </v>
          </cell>
        </row>
        <row r="10">
          <cell r="D10" t="str">
            <v>Planowany jest wzrost stawek czynszu z tego tytułu o 7% w stosunku do wysokości stawek w 2000 roku  - zgodnie z przyjętymi założeniami do projektu budżetu gminy Łęczna na 2001 rok.</v>
          </cell>
        </row>
        <row r="11">
          <cell r="C11">
            <v>2</v>
          </cell>
          <cell r="D11" t="str">
            <v>Wpływy ze sprzedaży mieszkań komunalnych i bydynków</v>
          </cell>
        </row>
        <row r="12">
          <cell r="D12" t="str">
            <v>Planowana jest sprzedaż 2 mieszkań komunalnych</v>
          </cell>
        </row>
        <row r="13">
          <cell r="C13">
            <v>3</v>
          </cell>
          <cell r="D13" t="str">
            <v>wpływy z dzierżawy działek</v>
          </cell>
        </row>
        <row r="14">
          <cell r="D14" t="str">
            <v>Planowany jest spadek dochodów z tego tytułu w porównaniu do przewidywanego wykonania za  2000 rok z uwagi na fakt, iż umowy zawarte z dzierżawcami przy ul. Targowej zostały zawarte do 30.06.2001 roku.</v>
          </cell>
        </row>
        <row r="15">
          <cell r="C15">
            <v>4</v>
          </cell>
          <cell r="D15" t="str">
            <v>wieczyste użytkowanie gruntów </v>
          </cell>
        </row>
        <row r="16">
          <cell r="D16" t="str">
            <v>Kwota zaplanowana w budżecie na rok 2001 wynika z sumowania wszystkich stawek wraz z nielicznymi zaległościami z uwzględnieniem sprzedaży działek.</v>
          </cell>
        </row>
        <row r="17">
          <cell r="C17">
            <v>5</v>
          </cell>
          <cell r="D17" t="str">
            <v>wpływy ze sprzedaży nieruchomości </v>
          </cell>
        </row>
        <row r="18">
          <cell r="D18" t="str">
            <v>Planowana jest sprzedaż nastepujących działek:</v>
          </cell>
        </row>
        <row r="19">
          <cell r="C19" t="str">
            <v>-</v>
          </cell>
          <cell r="D19" t="str">
            <v>2 działki przy ul. Rynek III</v>
          </cell>
        </row>
        <row r="20">
          <cell r="C20" t="str">
            <v>-</v>
          </cell>
          <cell r="D20" t="str">
            <v>1 działka przy ul. Pasternik</v>
          </cell>
        </row>
        <row r="21">
          <cell r="C21" t="str">
            <v>-</v>
          </cell>
          <cell r="D21" t="str">
            <v>4 działki przy ul. Rzemieślniczej</v>
          </cell>
        </row>
        <row r="22">
          <cell r="C22" t="str">
            <v>-</v>
          </cell>
          <cell r="D22" t="str">
            <v>1 działka przy ul. Al. Jana Pawła II</v>
          </cell>
        </row>
        <row r="23">
          <cell r="A23">
            <v>3</v>
          </cell>
          <cell r="B23">
            <v>750</v>
          </cell>
          <cell r="D23" t="str">
            <v>ADMINISTRACJA PUBLICZNA</v>
          </cell>
        </row>
        <row r="24">
          <cell r="B24">
            <v>75011</v>
          </cell>
          <cell r="D24" t="str">
            <v>Urzędy wojewódzkie</v>
          </cell>
        </row>
        <row r="25">
          <cell r="C25">
            <v>1</v>
          </cell>
          <cell r="D25" t="str">
            <v>Dotacja na zadania zlecone - środki z LUW Lublin</v>
          </cell>
        </row>
        <row r="26">
          <cell r="D26" t="str">
            <v>Do planu przyjęto kwotę na pdst. pisma z UW w Lublinie Nr Fn.I.3021/602/99</v>
          </cell>
        </row>
        <row r="27">
          <cell r="B27">
            <v>75023</v>
          </cell>
          <cell r="D27" t="str">
            <v>Urzędy gmin</v>
          </cell>
        </row>
        <row r="28">
          <cell r="C28">
            <v>1</v>
          </cell>
          <cell r="D28" t="str">
            <v>wynajm pomieszczeń</v>
          </cell>
        </row>
        <row r="29">
          <cell r="C29">
            <v>2</v>
          </cell>
          <cell r="D29" t="str">
            <v>wpływy z usług</v>
          </cell>
        </row>
        <row r="30">
          <cell r="C30">
            <v>3</v>
          </cell>
          <cell r="D30" t="str">
            <v>wpływy z opłaty administracyjnej za czynności urzędowe</v>
          </cell>
        </row>
        <row r="31">
          <cell r="D31" t="str">
            <v>Planowany jest wzrost dochodów z tych tytułów o 7 % w porównaniu do przewidywanego wykonania za 2000 rok - zgodnie z przyjętymi założeniami do projektu budżetu gminy Łęczna na 2001 rok.</v>
          </cell>
        </row>
        <row r="32">
          <cell r="B32" t="str">
            <v>75095</v>
          </cell>
          <cell r="D32" t="str">
            <v>Pozostała działalność</v>
          </cell>
        </row>
        <row r="33">
          <cell r="C33">
            <v>1</v>
          </cell>
          <cell r="D33" t="str">
            <v>Opłata za wydawanie zezwoleń na sprzedaż napojów alkoholowych</v>
          </cell>
        </row>
        <row r="34">
          <cell r="D34" t="str">
            <v>Wysokość opłaty za wydawanie zezwoleń na sprzedaż napojów alkoholowych uzależniona jest od ceny 1 l spirytusu, ustalanej corocznie przez Ministra Finansów.</v>
          </cell>
        </row>
        <row r="35">
          <cell r="D35" t="str">
            <v>Nie planuje się wzrostu dochodów z tego tytułu w 2001 roku</v>
          </cell>
        </row>
        <row r="36">
          <cell r="A36">
            <v>4</v>
          </cell>
          <cell r="B36">
            <v>751</v>
          </cell>
          <cell r="D36" t="str">
            <v>URZĘDY NACZELNYCH ORGANÓW WŁADZY PAŃSTWOWEJ, KONTROLI I OCHRONY PRAWA ORAZ SĄDOWNICTWA</v>
          </cell>
        </row>
        <row r="37">
          <cell r="B37">
            <v>75101</v>
          </cell>
          <cell r="D37" t="str">
            <v>Urzędy naczelnych organów władzy państwowej, kontroli i ochrony prawa</v>
          </cell>
        </row>
        <row r="38">
          <cell r="C38">
            <v>1</v>
          </cell>
          <cell r="D38" t="str">
            <v>Dotacja z Krajowego Biura Wyborczego na prowadzenie i aktualizację rejestru wyborców</v>
          </cell>
        </row>
        <row r="39">
          <cell r="D39" t="str">
            <v>Kwotę podano na pdst. pisma z KBW Nr KBW-0206-6/2000</v>
          </cell>
        </row>
        <row r="40">
          <cell r="A40">
            <v>5</v>
          </cell>
          <cell r="B40">
            <v>754</v>
          </cell>
          <cell r="D40" t="str">
            <v>BEZPIECZEŃSTWO PUBLICZNE i OCHRONA PRZECIWPOŻAROWA</v>
          </cell>
        </row>
        <row r="41">
          <cell r="B41">
            <v>75414</v>
          </cell>
          <cell r="D41" t="str">
            <v>Obrona cywilna</v>
          </cell>
        </row>
        <row r="42">
          <cell r="C42">
            <v>1</v>
          </cell>
          <cell r="D42" t="str">
            <v>Dotacja na zadania zlecone (obrona cywilna)</v>
          </cell>
        </row>
        <row r="43">
          <cell r="D43" t="str">
            <v>Kwota podana na pdst. pisma Nr Fn.I.3021/730/2000 z LUW w Lublinie</v>
          </cell>
        </row>
        <row r="44">
          <cell r="A44">
            <v>6</v>
          </cell>
          <cell r="B44">
            <v>756</v>
          </cell>
          <cell r="D44" t="str">
            <v>DOCHODY OD OSÓB PRAWNYCH,OD OSÓB FIZYCZNYCH I OD INNYCH JEDNOSTEK NIE POSIADAJĄCYCH OSOBOWOŚCI PRAWNEJ</v>
          </cell>
        </row>
        <row r="45">
          <cell r="B45" t="str">
            <v>75615</v>
          </cell>
          <cell r="D45" t="str">
            <v>Wpływy z podatku rolnego, podatku leśnego podatku od czynności cywilnoprawnych oraz podatków i opłat lokalnych od osób prawnych i innych jednostek organizacyjnych</v>
          </cell>
        </row>
        <row r="46">
          <cell r="C46">
            <v>1</v>
          </cell>
          <cell r="D46" t="str">
            <v>podatek od nieruchomości od osób prawnych</v>
          </cell>
        </row>
        <row r="47">
          <cell r="D47" t="str">
            <v>Planowany jest wzrost stawek podatkowych o 12 % w porównaniu do stawek z roku 2000. W 2000 roku nie nastąpił wzrost stawek podatkwoych w porównaiu do 1999 roku.</v>
          </cell>
        </row>
        <row r="48">
          <cell r="C48">
            <v>2</v>
          </cell>
          <cell r="D48" t="str">
            <v>podatek rolny od osób prawnych</v>
          </cell>
        </row>
        <row r="49">
          <cell r="D49" t="str">
            <v>Planowany jest wzrost stawek podatkowych o 12 % - zgodnie z przyjętymi założeniami do projektu budżetu gminy Łęczna na 2001 rok.</v>
          </cell>
        </row>
        <row r="50">
          <cell r="C50">
            <v>3</v>
          </cell>
          <cell r="D50" t="str">
            <v>podatek leśny</v>
          </cell>
        </row>
        <row r="51">
          <cell r="C51">
            <v>4</v>
          </cell>
          <cell r="D51" t="str">
            <v>podatek od środków transportowych</v>
          </cell>
        </row>
        <row r="52">
          <cell r="D52" t="str">
            <v>Planowany jest wzrost stawek podatkowych o 12 % - zgodnie z przyjętymi założeniami do projektu budżetu gminy Łęczna na 2001 rok.</v>
          </cell>
        </row>
        <row r="53">
          <cell r="C53">
            <v>5</v>
          </cell>
          <cell r="D53" t="str">
            <v>Odsetki od nieterminowych wpłat podatków i opłat</v>
          </cell>
        </row>
        <row r="54">
          <cell r="B54">
            <v>75616</v>
          </cell>
          <cell r="D54" t="str">
            <v>Wpływy z podatku rolnego, podatku leśnego, podatku os spadków i darowizn, podatku od czynności cywilnoprawnych oraz podatków i opłat lokalnych od osób fizycznych</v>
          </cell>
        </row>
        <row r="55">
          <cell r="C55">
            <v>1</v>
          </cell>
          <cell r="D55" t="str">
            <v>podatek od nieruchomości</v>
          </cell>
        </row>
        <row r="56">
          <cell r="D56" t="str">
            <v>Planowany jest wzrost stawek podatkowych o 12 % w porównaniu do stawek z roku 2000. W 2000 roku nie nastąpił wzrost stawek podatkowych w porównaiu do 1999 roku.</v>
          </cell>
        </row>
        <row r="57">
          <cell r="C57">
            <v>2</v>
          </cell>
          <cell r="D57" t="str">
            <v>podatek rolny od osób fizycznych</v>
          </cell>
        </row>
        <row r="58">
          <cell r="D58" t="str">
            <v>Planowany jest wzrost stawek podatkowych o 12 % - zgodnie z przyjętymi założeniami do projektu budżetu gminy Łęczna na 2001 rok.</v>
          </cell>
        </row>
        <row r="59">
          <cell r="C59">
            <v>3</v>
          </cell>
          <cell r="D59" t="str">
            <v>podatek od środków transportowych od osób fizycznych</v>
          </cell>
        </row>
        <row r="60">
          <cell r="D60" t="str">
            <v>Planowany jest wzrost stawek podatkowych o 12 % - zgodnie z przyjętymi założeniami do projektu budżetu gminy Łęczna na 2001 rok.</v>
          </cell>
        </row>
        <row r="61">
          <cell r="C61">
            <v>4</v>
          </cell>
          <cell r="D61" t="str">
            <v>Podatek od działalności gospodarczej osób fizycznych, opłacany w formie karty podatkowej</v>
          </cell>
        </row>
        <row r="62">
          <cell r="D62" t="str">
            <v>Nie jest planowany wzrost dochodów z tego tytułu, z uwagi na fakt zmniejszania się liczby podmiotów rozliczających się z podatku w tej formie. </v>
          </cell>
        </row>
        <row r="63">
          <cell r="C63">
            <v>5</v>
          </cell>
          <cell r="D63" t="str">
            <v>podatek od spadków i darowizn</v>
          </cell>
        </row>
        <row r="64">
          <cell r="D64" t="str">
            <v>Planowany jest wzrost dochodów z tego tytułu o 7 % w porównaniu do przewidywanego wykonania za 2000 rok - zgodnie z przyjętymi założeniami do projektu budżetu gminy Łęczna na 2001 rok.</v>
          </cell>
        </row>
        <row r="65">
          <cell r="C65">
            <v>6</v>
          </cell>
          <cell r="D65" t="str">
            <v>wpływy z opłaty targowej</v>
          </cell>
        </row>
        <row r="66">
          <cell r="D66" t="str">
            <v>Planowany jest wzrost stawek opłaty targowej o 12% - zgodnie z przyjętymi założeniami do projektu budżetu gminy Łęczna na 2001 rok.</v>
          </cell>
        </row>
        <row r="67">
          <cell r="C67">
            <v>7</v>
          </cell>
          <cell r="D67" t="str">
            <v>zaległości z podatków zniesionych - śr. transportowe od osób fizycznych (sam. osobowe)</v>
          </cell>
        </row>
        <row r="68">
          <cell r="C68">
            <v>8</v>
          </cell>
          <cell r="D68" t="str">
            <v>Odsetki od nieterminowych wpłat podatków i opłat</v>
          </cell>
        </row>
        <row r="69">
          <cell r="D69" t="str">
            <v>Planowany jest spadek dochodów z tego tytułu z uwagi na spadek wysokości ustawowych odsetek od zaległości.</v>
          </cell>
        </row>
        <row r="70">
          <cell r="C70">
            <v>9</v>
          </cell>
          <cell r="D70" t="str">
            <v>podatek od czynności cywilno- prawnych</v>
          </cell>
        </row>
        <row r="71">
          <cell r="D71" t="str">
            <v>Źródło dochodów wprowadzono zgodnie ze zmianą przepisów o opłacie skarbowej.</v>
          </cell>
        </row>
        <row r="72">
          <cell r="B72">
            <v>75618</v>
          </cell>
          <cell r="D72" t="str">
            <v>Wpływy z opłaty skarbowej</v>
          </cell>
        </row>
        <row r="73">
          <cell r="C73">
            <v>1</v>
          </cell>
          <cell r="D73" t="str">
            <v>Opłata skarbowa - wpływy z Urzędów Skarbowych</v>
          </cell>
        </row>
        <row r="74">
          <cell r="D74" t="str">
            <v>Planuje się zmniejszenie dochodów z tego tytułu.Dnia 9.IX.2000 r. ogłoszono znowelizowaną ustawę o opłacie skarbowej.Zgodnie z tym aktem prawnym opłata skarbowa będzie pobierana od:</v>
          </cell>
        </row>
        <row r="75">
          <cell r="D75" t="str">
            <v>1). podań, załączników do podań, zaświadczeń, zezwoleń - dochody z tego tytułu mają marginalne znaczenie dla gminy.</v>
          </cell>
        </row>
        <row r="76">
          <cell r="B76">
            <v>75621</v>
          </cell>
          <cell r="D76" t="str">
            <v>Udziały gmin w podatkach stanowiących dochód budżetu państwa</v>
          </cell>
        </row>
        <row r="77">
          <cell r="C77">
            <v>1</v>
          </cell>
          <cell r="D77" t="str">
            <v>podatek dochodowy od osób fizycznych</v>
          </cell>
        </row>
        <row r="78">
          <cell r="D78" t="str">
            <v>Kwota podana na pdst. pisma z Min. Finansów Nr ST3-444-64/2000</v>
          </cell>
        </row>
        <row r="79">
          <cell r="C79">
            <v>2</v>
          </cell>
          <cell r="D79" t="str">
            <v>podatek dochodowy od osób prawnych</v>
          </cell>
        </row>
        <row r="80">
          <cell r="D80" t="str">
            <v>Planowany jest spadek wpływów z tego tytułu z uwagi na obniżenie stawki podatku dochodowego.</v>
          </cell>
        </row>
        <row r="81">
          <cell r="A81">
            <v>7</v>
          </cell>
          <cell r="B81">
            <v>758</v>
          </cell>
          <cell r="D81" t="str">
            <v>RÓŻNE ROZLICZENIA</v>
          </cell>
        </row>
        <row r="82">
          <cell r="B82">
            <v>75801</v>
          </cell>
          <cell r="D82" t="str">
            <v>Część oświatowa subwencji ogólnej dla jst</v>
          </cell>
        </row>
        <row r="83">
          <cell r="C83">
            <v>1</v>
          </cell>
          <cell r="D83" t="str">
            <v>subwencja oświatowa</v>
          </cell>
        </row>
        <row r="84">
          <cell r="D84" t="str">
            <v>Kwota podana na pdst. pisma z Min. Finansów Nr ST3-444-64/2000</v>
          </cell>
        </row>
        <row r="85">
          <cell r="B85">
            <v>75802</v>
          </cell>
          <cell r="D85" t="str">
            <v>Część podstawowa subwencji ogólnej dla gmin</v>
          </cell>
        </row>
        <row r="86">
          <cell r="C86">
            <v>1</v>
          </cell>
          <cell r="D86" t="str">
            <v>subwencja ogólna dla gmin</v>
          </cell>
        </row>
        <row r="87">
          <cell r="D87" t="str">
            <v>Kwota podana na pdst. pisma z Min. Finansów Nr ST3-444-64/2000</v>
          </cell>
        </row>
        <row r="88">
          <cell r="B88">
            <v>75805</v>
          </cell>
          <cell r="D88" t="str">
            <v>Część rekompensująca subwencji ogólnej dla gmin</v>
          </cell>
        </row>
        <row r="89">
          <cell r="C89">
            <v>1</v>
          </cell>
          <cell r="D89" t="str">
            <v>subwencja ogólna</v>
          </cell>
        </row>
        <row r="90">
          <cell r="D90" t="str">
            <v>Kwota podana na pdst. pisma z Min. Finansów Nr ST3-444-64/2000</v>
          </cell>
        </row>
        <row r="91">
          <cell r="B91">
            <v>75814</v>
          </cell>
          <cell r="D91" t="str">
            <v>Różne rozliczenia finansowe</v>
          </cell>
        </row>
        <row r="92">
          <cell r="C92">
            <v>1</v>
          </cell>
          <cell r="D92" t="str">
            <v>Odsetki na rachunku bieżącycm</v>
          </cell>
        </row>
        <row r="93">
          <cell r="A93">
            <v>8</v>
          </cell>
          <cell r="B93">
            <v>853</v>
          </cell>
          <cell r="D93" t="str">
            <v>OPIEKA SPOŁECZNA</v>
          </cell>
        </row>
        <row r="94">
          <cell r="B94">
            <v>85303</v>
          </cell>
          <cell r="D94" t="str">
            <v>Ośrodki wsparcia</v>
          </cell>
        </row>
        <row r="95">
          <cell r="C95">
            <v>1</v>
          </cell>
          <cell r="D95" t="str">
            <v>Dotacja na zadania zlecone (Środowiskowy Dom Samopomocy w Łęcznej)</v>
          </cell>
        </row>
        <row r="96">
          <cell r="D96" t="str">
            <v>Do planu przyjęto kwotę zgodnie z pismem z LUW w Lublinie Nr Fn.I. 3021/730/2000</v>
          </cell>
        </row>
        <row r="97">
          <cell r="C97">
            <v>2</v>
          </cell>
          <cell r="D97" t="str">
            <v>Dotacja na zadania zlecone (Środowiskowy Dom Samopomocy w Łęcznej)</v>
          </cell>
        </row>
        <row r="98">
          <cell r="D98" t="str">
            <v>Do planu przyjęto kwotę zgodnie z pismem z LUW w Lublinie Nr Fn.I. 3021/730/2000</v>
          </cell>
        </row>
        <row r="99">
          <cell r="B99">
            <v>85314</v>
          </cell>
          <cell r="D99" t="str">
            <v>Zasiłki i pomoc w naturze oraz składki na ubezpieczenie społeczne i zdrowotne</v>
          </cell>
        </row>
        <row r="100">
          <cell r="C100">
            <v>1</v>
          </cell>
          <cell r="D100" t="str">
            <v>Dotacja na zadania zlecone (wypłata zasiłków przez MOPS)</v>
          </cell>
        </row>
        <row r="101">
          <cell r="D101" t="str">
            <v>Do planu przyjęto kwotę zgodnie z pismem z LUW w Lublinie Nr Fn.I. 3021/730/2000</v>
          </cell>
        </row>
        <row r="102">
          <cell r="B102">
            <v>85316</v>
          </cell>
          <cell r="D102" t="str">
            <v>Zasiłki rodzinne, pielęgnacyjne i wychowawcze</v>
          </cell>
        </row>
        <row r="103">
          <cell r="C103">
            <v>1</v>
          </cell>
          <cell r="D103" t="str">
            <v>Dotacja na zadania zlecone (wypłata zasiłków)</v>
          </cell>
        </row>
        <row r="104">
          <cell r="D104" t="str">
            <v>Do planu przyjęto kwotę zgodnie z pismem z LUW w Lublinie Nr Fn.I. 3021/730/2000</v>
          </cell>
        </row>
        <row r="105">
          <cell r="B105">
            <v>85319</v>
          </cell>
          <cell r="D105" t="str">
            <v>Terenowe ośrodki pomocy społecznej</v>
          </cell>
        </row>
        <row r="106">
          <cell r="C106">
            <v>1</v>
          </cell>
          <cell r="D106" t="str">
            <v>Dotacja na zadania zlecone (utrzymanie MOPS w Łęcznej)</v>
          </cell>
        </row>
        <row r="107">
          <cell r="D107" t="str">
            <v>Do planu przyjęto kwotę zgodnie z pismem z LUW w Lublinie Nr Fn.I. 3021/730/2000</v>
          </cell>
        </row>
        <row r="108">
          <cell r="B108">
            <v>85328</v>
          </cell>
          <cell r="D108" t="str">
            <v>Usługi opiekuńcze i specjalistyczne usługi opiekuńcze</v>
          </cell>
        </row>
        <row r="109">
          <cell r="C109">
            <v>1</v>
          </cell>
          <cell r="D109" t="str">
            <v>Wpływy z tytułu odpłatności za usługi opiekuńcze</v>
          </cell>
        </row>
        <row r="110">
          <cell r="D110" t="str">
            <v>Nie jest planowany wzrost dochodów z tego tytułu w 2001 roku.</v>
          </cell>
        </row>
        <row r="111">
          <cell r="A111">
            <v>9</v>
          </cell>
          <cell r="B111">
            <v>900</v>
          </cell>
          <cell r="D111" t="str">
            <v>GOSPODARKA KOMUNALNA I OCHRONA ŚRODOWISKA</v>
          </cell>
        </row>
        <row r="112">
          <cell r="B112">
            <v>90015</v>
          </cell>
          <cell r="D112" t="str">
            <v>Oświetlenie ulic</v>
          </cell>
        </row>
        <row r="113">
          <cell r="C113">
            <v>1</v>
          </cell>
          <cell r="D113" t="str">
            <v>Dotacja z UW w Lublinie na zadania zlecone gminom</v>
          </cell>
        </row>
        <row r="114">
          <cell r="D114" t="str">
            <v>Do planu przyjęto kwotę zgodnie z pismem z LUW w Lublinie Nr Fn.I. 3021/730/2000</v>
          </cell>
        </row>
        <row r="115">
          <cell r="D115" t="str">
            <v>  O G Ó Ł E M    D O C H O D Y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hody po KF"/>
      <sheetName val="Wydatki - po KF"/>
      <sheetName val="PLAN FIN.UM-2001 "/>
      <sheetName val="ZADANIA-2001"/>
      <sheetName val="Wydatki"/>
      <sheetName val="Dochody"/>
    </sheetNames>
    <sheetDataSet>
      <sheetData sheetId="5">
        <row r="1">
          <cell r="A1" t="str">
            <v>Lp</v>
          </cell>
          <cell r="B1" t="str">
            <v>Dział</v>
          </cell>
          <cell r="D1" t="str">
            <v>NAZWA DZIAŁU    -  tytuł</v>
          </cell>
        </row>
        <row r="3">
          <cell r="A3">
            <v>1</v>
          </cell>
          <cell r="B3" t="str">
            <v>010</v>
          </cell>
          <cell r="D3" t="str">
            <v>ROLNICTWO I ŁOWIECTWO</v>
          </cell>
        </row>
        <row r="4">
          <cell r="B4" t="str">
            <v>01095</v>
          </cell>
          <cell r="D4" t="str">
            <v>Pozostała działalność</v>
          </cell>
        </row>
        <row r="5">
          <cell r="C5">
            <v>1</v>
          </cell>
          <cell r="D5" t="str">
            <v>Sprzedaż świadectw miejsca pochodzenia zwierząt</v>
          </cell>
        </row>
        <row r="6">
          <cell r="D6" t="str">
            <v>Nie jest wzrost dochodów z tego tytułu w porównaniu do przewidywanego wykonania za 2000 roku</v>
          </cell>
        </row>
        <row r="7">
          <cell r="A7">
            <v>2</v>
          </cell>
          <cell r="B7">
            <v>700</v>
          </cell>
          <cell r="D7" t="str">
            <v>GOSPODARKA MIESZKANIOWA</v>
          </cell>
        </row>
        <row r="8">
          <cell r="B8">
            <v>70005</v>
          </cell>
          <cell r="D8" t="str">
            <v>Gospodarka gruntami i nieruchomościami</v>
          </cell>
        </row>
        <row r="9">
          <cell r="C9">
            <v>1</v>
          </cell>
          <cell r="D9" t="str">
            <v>Wpływy z tytułu najmu lokali użytkowych - czynsze komunalne </v>
          </cell>
        </row>
        <row r="10">
          <cell r="D10" t="str">
            <v>Planowany jest wzrost stawek czynszu z tego tytułu o 7% w stosunku do wysokości stawek w 2000 roku  - zgodnie z przyjętymi założeniami do projektu budżetu gminy Łęczna na 2001 rok.</v>
          </cell>
        </row>
        <row r="11">
          <cell r="C11">
            <v>2</v>
          </cell>
          <cell r="D11" t="str">
            <v>Wpływy ze sprzedaży mieszkań komunalnych i bydynków</v>
          </cell>
        </row>
        <row r="12">
          <cell r="D12" t="str">
            <v>Planowana jest sprzedaż 2 mieszkań komunalnych</v>
          </cell>
        </row>
        <row r="13">
          <cell r="C13">
            <v>3</v>
          </cell>
          <cell r="D13" t="str">
            <v>wpływy z dzierżawy działek</v>
          </cell>
        </row>
        <row r="14">
          <cell r="D14" t="str">
            <v>Planowany jest spadek dochodów z tego tytułu w porównaniu do przewidywanego wykonania za  2000 rok z uwagi na fakt, iż umowy zawarte z dzierżawcami przy ul. Targowej zostały zawarte do 30.06.2001 roku.</v>
          </cell>
        </row>
        <row r="15">
          <cell r="C15">
            <v>4</v>
          </cell>
          <cell r="D15" t="str">
            <v>wieczyste użytkowanie gruntów </v>
          </cell>
        </row>
        <row r="16">
          <cell r="D16" t="str">
            <v>Kwota zaplanowana w budżecie na rok 2001 wynika z sumowania wszystkich stawek wraz z nielicznymi zaległościami z uwzględnieniem sprzedaży działek.</v>
          </cell>
        </row>
        <row r="17">
          <cell r="C17">
            <v>5</v>
          </cell>
          <cell r="D17" t="str">
            <v>wpływy ze sprzedaży nieruchomości </v>
          </cell>
        </row>
        <row r="18">
          <cell r="D18" t="str">
            <v>Planowana jest sprzedaż nastepujących działek:</v>
          </cell>
        </row>
        <row r="19">
          <cell r="C19" t="str">
            <v>-</v>
          </cell>
          <cell r="D19" t="str">
            <v>2 działki przy ul. Rynek III</v>
          </cell>
        </row>
        <row r="20">
          <cell r="C20" t="str">
            <v>-</v>
          </cell>
          <cell r="D20" t="str">
            <v>1 działka przy ul. Pasternik</v>
          </cell>
        </row>
        <row r="21">
          <cell r="C21" t="str">
            <v>-</v>
          </cell>
          <cell r="D21" t="str">
            <v>4 działki przy ul. Rzemieślniczej</v>
          </cell>
        </row>
        <row r="22">
          <cell r="C22" t="str">
            <v>-</v>
          </cell>
          <cell r="D22" t="str">
            <v>1 działka przy ul. Al. Jana Pawła II</v>
          </cell>
        </row>
        <row r="23">
          <cell r="A23">
            <v>3</v>
          </cell>
          <cell r="B23">
            <v>750</v>
          </cell>
          <cell r="D23" t="str">
            <v>ADMINISTRACJA PUBLICZNA</v>
          </cell>
        </row>
        <row r="24">
          <cell r="B24">
            <v>75011</v>
          </cell>
          <cell r="D24" t="str">
            <v>Urzędy wojewódzkie</v>
          </cell>
        </row>
        <row r="25">
          <cell r="C25">
            <v>1</v>
          </cell>
          <cell r="D25" t="str">
            <v>Dotacja na zadania zlecone - środki z LUW Lublin</v>
          </cell>
        </row>
        <row r="26">
          <cell r="D26" t="str">
            <v>Do planu przyjęto kwotę na pdst. pisma z UW w Lublinie Nr Fn.I.3021/602/99</v>
          </cell>
        </row>
        <row r="27">
          <cell r="B27">
            <v>75023</v>
          </cell>
          <cell r="D27" t="str">
            <v>Urzędy gmin</v>
          </cell>
        </row>
        <row r="28">
          <cell r="C28">
            <v>1</v>
          </cell>
          <cell r="D28" t="str">
            <v>wynajm pomieszczeń</v>
          </cell>
        </row>
        <row r="29">
          <cell r="C29">
            <v>2</v>
          </cell>
          <cell r="D29" t="str">
            <v>wpływy z usług</v>
          </cell>
        </row>
        <row r="30">
          <cell r="C30">
            <v>3</v>
          </cell>
          <cell r="D30" t="str">
            <v>wpływy z opłaty administracyjnej za czynności urzędowe</v>
          </cell>
        </row>
        <row r="31">
          <cell r="D31" t="str">
            <v>Planowany jest wzrost dochodów z tych tytułów o 7 % w porównaniu do przewidywanego wykonania za 2000 rok - zgodnie z przyjętymi założeniami do projektu budżetu gminy Łęczna na 2001 rok.</v>
          </cell>
        </row>
        <row r="32">
          <cell r="B32" t="str">
            <v>75095</v>
          </cell>
          <cell r="D32" t="str">
            <v>Pozostała działalność</v>
          </cell>
        </row>
        <row r="33">
          <cell r="C33">
            <v>1</v>
          </cell>
          <cell r="D33" t="str">
            <v>Opłata za wydawanie zezwoleń na sprzedaż napojów alkoholowych</v>
          </cell>
        </row>
        <row r="34">
          <cell r="D34" t="str">
            <v>Wysokość opłaty za wydawanie zezwoleń na sprzedaż napojów alkoholowych uzależniona jest od ceny 1 l spirytusu, ustalanej corocznie przez Ministra Finansów.</v>
          </cell>
        </row>
        <row r="35">
          <cell r="D35" t="str">
            <v>Nie planuje się wzrostu dochodów z tego tytułu w 2001 roku</v>
          </cell>
        </row>
        <row r="36">
          <cell r="A36">
            <v>4</v>
          </cell>
          <cell r="B36">
            <v>751</v>
          </cell>
          <cell r="D36" t="str">
            <v>URZĘDY NACZELNYCH ORGANÓW WŁADZY PAŃSTWOWEJ, KONTROLI I OCHRONY PRAWA ORAZ SĄDOWNICTWA</v>
          </cell>
        </row>
        <row r="37">
          <cell r="B37">
            <v>75101</v>
          </cell>
          <cell r="D37" t="str">
            <v>Urzędy naczelnych organów władzy państwowej, kontroli i ochrony prawa</v>
          </cell>
        </row>
        <row r="38">
          <cell r="C38">
            <v>1</v>
          </cell>
          <cell r="D38" t="str">
            <v>Dotacja z Krajowego Biura Wyborczego na prowadzenie i aktualizację rejestru wyborców</v>
          </cell>
        </row>
        <row r="39">
          <cell r="D39" t="str">
            <v>Kwotę podano na pdst. pisma z KBW Nr KBW-0206-6/2000</v>
          </cell>
        </row>
        <row r="40">
          <cell r="A40">
            <v>5</v>
          </cell>
          <cell r="B40">
            <v>754</v>
          </cell>
          <cell r="D40" t="str">
            <v>BEZPIECZEŃSTWO PUBLICZNE i OCHRONA PRZECIWPOŻAROWA</v>
          </cell>
        </row>
        <row r="41">
          <cell r="B41">
            <v>75414</v>
          </cell>
          <cell r="D41" t="str">
            <v>Obrona cywilna</v>
          </cell>
        </row>
        <row r="42">
          <cell r="C42">
            <v>1</v>
          </cell>
          <cell r="D42" t="str">
            <v>Dotacja na zadania zlecone (obrona cywilna)</v>
          </cell>
        </row>
        <row r="43">
          <cell r="D43" t="str">
            <v>Kwota podana na pdst. pisma Nr Fn.I.3021/730/2000 z LUW w Lublinie</v>
          </cell>
        </row>
        <row r="44">
          <cell r="A44">
            <v>6</v>
          </cell>
          <cell r="B44">
            <v>756</v>
          </cell>
          <cell r="D44" t="str">
            <v>DOCHODY OD OSÓB PRAWNYCH,OD OSÓB FIZYCZNYCH I OD INNYCH JEDNOSTEK NIE POSIADAJĄCYCH OSOBOWOŚCI PRAWNEJ</v>
          </cell>
        </row>
        <row r="45">
          <cell r="B45" t="str">
            <v>75615</v>
          </cell>
          <cell r="D45" t="str">
            <v>Wpływy z podatku rolnego, podatku leśnego podatku od czynności cywilnoprawnych oraz podatków i opłat lokalnych od osób prawnych i innych jednostek organizacyjnych</v>
          </cell>
        </row>
        <row r="46">
          <cell r="C46">
            <v>1</v>
          </cell>
          <cell r="D46" t="str">
            <v>podatek od nieruchomości od osób prawnych</v>
          </cell>
        </row>
        <row r="47">
          <cell r="D47" t="str">
            <v>Planowany jest wzrost stawek podatkowych o 12 % w porównaniu do stawek z roku 2000. W 2000 roku nie nastąpił wzrost stawek podatkwoych w porównaiu do 1999 roku.</v>
          </cell>
        </row>
        <row r="48">
          <cell r="C48">
            <v>2</v>
          </cell>
          <cell r="D48" t="str">
            <v>podatek rolny od osób prawnych</v>
          </cell>
        </row>
        <row r="49">
          <cell r="D49" t="str">
            <v>Planowany jest wzrost stawek podatkowych o 12 % - zgodnie z przyjętymi założeniami do projektu budżetu gminy Łęczna na 2001 rok.</v>
          </cell>
        </row>
        <row r="50">
          <cell r="C50">
            <v>3</v>
          </cell>
          <cell r="D50" t="str">
            <v>podatek leśny</v>
          </cell>
        </row>
        <row r="51">
          <cell r="C51">
            <v>4</v>
          </cell>
          <cell r="D51" t="str">
            <v>podatek od środków transportowych</v>
          </cell>
        </row>
        <row r="52">
          <cell r="D52" t="str">
            <v>Planowany jest wzrost stawek podatkowych o 12 % - zgodnie z przyjętymi założeniami do projektu budżetu gminy Łęczna na 2001 rok.</v>
          </cell>
        </row>
        <row r="53">
          <cell r="C53">
            <v>5</v>
          </cell>
          <cell r="D53" t="str">
            <v>Odsetki od nieterminowych wpłat podatków i opłat</v>
          </cell>
        </row>
        <row r="54">
          <cell r="B54">
            <v>75616</v>
          </cell>
          <cell r="D54" t="str">
            <v>Wpływy z podatku rolnego, podatku leśnego, podatku os spadków i darowizn, podatku od czynności cywilnoprawnych oraz podatków i opłat lokalnych od osób fizycznych</v>
          </cell>
        </row>
        <row r="55">
          <cell r="C55">
            <v>1</v>
          </cell>
          <cell r="D55" t="str">
            <v>podatek od nieruchomości</v>
          </cell>
        </row>
        <row r="56">
          <cell r="D56" t="str">
            <v>Planowany jest wzrost stawek podatkowych o 12 % w porównaniu do stawek z roku 2000. W 2000 roku nie nastąpił wzrost stawek podatkowych w porównaiu do 1999 roku.</v>
          </cell>
        </row>
        <row r="57">
          <cell r="C57">
            <v>2</v>
          </cell>
          <cell r="D57" t="str">
            <v>podatek rolny od osób fizycznych</v>
          </cell>
        </row>
        <row r="58">
          <cell r="D58" t="str">
            <v>Planowany jest wzrost stawek podatkowych o 12 % - zgodnie z przyjętymi założeniami do projektu budżetu gminy Łęczna na 2001 rok.</v>
          </cell>
        </row>
        <row r="59">
          <cell r="C59">
            <v>3</v>
          </cell>
          <cell r="D59" t="str">
            <v>podatek od środków transportowych od osób fizycznych</v>
          </cell>
        </row>
        <row r="60">
          <cell r="D60" t="str">
            <v>Planowany jest wzrost stawek podatkowych o 12 % - zgodnie z przyjętymi założeniami do projektu budżetu gminy Łęczna na 2001 rok.</v>
          </cell>
        </row>
        <row r="61">
          <cell r="C61">
            <v>4</v>
          </cell>
          <cell r="D61" t="str">
            <v>Podatek od działalności gospodarczej osób fizycznych, opłacany w formie karty podatkowej</v>
          </cell>
        </row>
        <row r="62">
          <cell r="D62" t="str">
            <v>Nie jest planowany wzrost dochodów z tego tytułu, z uwagi na fakt zmniejszania się liczby podmiotów rozliczających się z podatku w tej formie. </v>
          </cell>
        </row>
        <row r="63">
          <cell r="C63">
            <v>5</v>
          </cell>
          <cell r="D63" t="str">
            <v>podatek od spadków i darowizn</v>
          </cell>
        </row>
        <row r="64">
          <cell r="D64" t="str">
            <v>Planowany jest wzrost dochodów z tego tytułu o 7 % w porównaniu do przewidywanego wykonania za 2000 rok - zgodnie z przyjętymi założeniami do projektu budżetu gminy Łęczna na 2001 rok.</v>
          </cell>
        </row>
        <row r="65">
          <cell r="C65">
            <v>6</v>
          </cell>
          <cell r="D65" t="str">
            <v>wpływy z opłaty targowej</v>
          </cell>
        </row>
        <row r="66">
          <cell r="D66" t="str">
            <v>Planowany jest wzrost stawek opłaty targowej o 12% - zgodnie z przyjętymi założeniami do projektu budżetu gminy Łęczna na 2001 rok.</v>
          </cell>
        </row>
        <row r="67">
          <cell r="C67">
            <v>7</v>
          </cell>
          <cell r="D67" t="str">
            <v>zaległości z podatków zniesionych - śr. transportowe od osób fizycznych (sam. osobowe)</v>
          </cell>
        </row>
        <row r="68">
          <cell r="C68">
            <v>8</v>
          </cell>
          <cell r="D68" t="str">
            <v>Odsetki od nieterminowych wpłat podatków i opłat</v>
          </cell>
        </row>
        <row r="69">
          <cell r="D69" t="str">
            <v>Planowany jest spadek dochodów z tego tytułu z uwagi na spadek wysokości ustawowych odsetek od zaległości.</v>
          </cell>
        </row>
        <row r="70">
          <cell r="C70">
            <v>9</v>
          </cell>
          <cell r="D70" t="str">
            <v>podatek od czynności cywilno- prawnych</v>
          </cell>
        </row>
        <row r="71">
          <cell r="D71" t="str">
            <v>Źródło dochodów wprowadzono zgodnie ze zmianą przepisów o opłacie skarbowej.</v>
          </cell>
        </row>
        <row r="72">
          <cell r="B72">
            <v>75618</v>
          </cell>
          <cell r="D72" t="str">
            <v>Wpływy z opłaty skarbowej</v>
          </cell>
        </row>
        <row r="73">
          <cell r="C73">
            <v>1</v>
          </cell>
          <cell r="D73" t="str">
            <v>Opłata skarbowa - wpływy z Urzędów Skarbowych</v>
          </cell>
        </row>
        <row r="74">
          <cell r="D74" t="str">
            <v>Planuje się zmniejszenie dochodów z tego tytułu.Dnia 9.IX.2000 r. ogłoszono znowelizowaną ustawę o opłacie skarbowej.Zgodnie z tym aktem prawnym opłata skarbowa będzie pobierana od:</v>
          </cell>
        </row>
        <row r="75">
          <cell r="D75" t="str">
            <v>1). podań, załączników do podań, zaświadczeń, zezwoleń - dochody z tego tytułu mają marginalne znaczenie dla gminy.</v>
          </cell>
        </row>
        <row r="76">
          <cell r="B76">
            <v>75621</v>
          </cell>
          <cell r="D76" t="str">
            <v>Udziały gmin w podatkach stanowiących dochód budżetu państwa</v>
          </cell>
        </row>
        <row r="77">
          <cell r="C77">
            <v>1</v>
          </cell>
          <cell r="D77" t="str">
            <v>podatek dochodowy od osób fizycznych</v>
          </cell>
        </row>
        <row r="78">
          <cell r="D78" t="str">
            <v>Kwota podana na pdst. pisma z Min. Finansów Nr ST3-444-64/2000</v>
          </cell>
        </row>
        <row r="79">
          <cell r="C79">
            <v>2</v>
          </cell>
          <cell r="D79" t="str">
            <v>podatek dochodowy od osób prawnych</v>
          </cell>
        </row>
        <row r="80">
          <cell r="D80" t="str">
            <v>Planowany jest spadek wpływów z tego tytułu z uwagi na obniżenie stawki podatku dochodowego.</v>
          </cell>
        </row>
        <row r="81">
          <cell r="A81">
            <v>7</v>
          </cell>
          <cell r="B81">
            <v>758</v>
          </cell>
          <cell r="D81" t="str">
            <v>RÓŻNE ROZLICZENIA</v>
          </cell>
        </row>
        <row r="82">
          <cell r="B82">
            <v>75801</v>
          </cell>
          <cell r="D82" t="str">
            <v>Część oświatowa subwencji ogólnej dla jst</v>
          </cell>
        </row>
        <row r="83">
          <cell r="C83">
            <v>1</v>
          </cell>
          <cell r="D83" t="str">
            <v>subwencja oświatowa</v>
          </cell>
        </row>
        <row r="84">
          <cell r="D84" t="str">
            <v>Kwota podana na pdst. pisma z Min. Finansów Nr ST3-444-64/2000</v>
          </cell>
        </row>
        <row r="85">
          <cell r="B85">
            <v>75802</v>
          </cell>
          <cell r="D85" t="str">
            <v>Część podstawowa subwencji ogólnej dla gmin</v>
          </cell>
        </row>
        <row r="86">
          <cell r="C86">
            <v>1</v>
          </cell>
          <cell r="D86" t="str">
            <v>subwencja ogólna dla gmin</v>
          </cell>
        </row>
        <row r="87">
          <cell r="D87" t="str">
            <v>Kwota podana na pdst. pisma z Min. Finansów Nr ST3-444-64/2000</v>
          </cell>
        </row>
        <row r="88">
          <cell r="B88">
            <v>75805</v>
          </cell>
          <cell r="D88" t="str">
            <v>Część rekompensująca subwencji ogólnej dla gmin</v>
          </cell>
        </row>
        <row r="89">
          <cell r="C89">
            <v>1</v>
          </cell>
          <cell r="D89" t="str">
            <v>subwencja ogólna</v>
          </cell>
        </row>
        <row r="90">
          <cell r="D90" t="str">
            <v>Kwota podana na pdst. pisma z Min. Finansów Nr ST3-444-64/2000</v>
          </cell>
        </row>
        <row r="91">
          <cell r="B91">
            <v>75814</v>
          </cell>
          <cell r="D91" t="str">
            <v>Różne rozliczenia finansowe</v>
          </cell>
        </row>
        <row r="92">
          <cell r="C92">
            <v>1</v>
          </cell>
          <cell r="D92" t="str">
            <v>Odsetki na rachunku bieżącycm</v>
          </cell>
        </row>
        <row r="93">
          <cell r="A93">
            <v>8</v>
          </cell>
          <cell r="B93">
            <v>853</v>
          </cell>
          <cell r="D93" t="str">
            <v>OPIEKA SPOŁECZNA</v>
          </cell>
        </row>
        <row r="94">
          <cell r="B94">
            <v>85303</v>
          </cell>
          <cell r="D94" t="str">
            <v>Ośrodki wsparcia</v>
          </cell>
        </row>
        <row r="95">
          <cell r="C95">
            <v>1</v>
          </cell>
          <cell r="D95" t="str">
            <v>Dotacja na zadania zlecone (Środowiskowy Dom Samopomocy w Łęcznej)</v>
          </cell>
        </row>
        <row r="96">
          <cell r="D96" t="str">
            <v>Do planu przyjęto kwotę zgodnie z pismem z LUW w Lublinie Nr Fn.I. 3021/730/2000</v>
          </cell>
        </row>
        <row r="97">
          <cell r="C97">
            <v>2</v>
          </cell>
          <cell r="D97" t="str">
            <v>Dotacja na zadania zlecone (Środowiskowy Dom Samopomocy w Łęcznej)</v>
          </cell>
        </row>
        <row r="98">
          <cell r="D98" t="str">
            <v>Do planu przyjęto kwotę zgodnie z pismem z LUW w Lublinie Nr Fn.I. 3021/730/2000</v>
          </cell>
        </row>
        <row r="99">
          <cell r="B99">
            <v>85314</v>
          </cell>
          <cell r="D99" t="str">
            <v>Zasiłki i pomoc w naturze oraz składki na ubezpieczenie społeczne i zdrowotne</v>
          </cell>
        </row>
        <row r="100">
          <cell r="C100">
            <v>1</v>
          </cell>
          <cell r="D100" t="str">
            <v>Dotacja na zadania zlecone (wypłata zasiłków przez MOPS)</v>
          </cell>
        </row>
        <row r="101">
          <cell r="D101" t="str">
            <v>Do planu przyjęto kwotę zgodnie z pismem z LUW w Lublinie Nr Fn.I. 3021/730/2000</v>
          </cell>
        </row>
        <row r="102">
          <cell r="B102">
            <v>85316</v>
          </cell>
          <cell r="D102" t="str">
            <v>Zasiłki rodzinne, pielęgnacyjne i wychowawcze</v>
          </cell>
        </row>
        <row r="103">
          <cell r="C103">
            <v>1</v>
          </cell>
          <cell r="D103" t="str">
            <v>Dotacja na zadania zlecone (wypłata zasiłków)</v>
          </cell>
        </row>
        <row r="104">
          <cell r="D104" t="str">
            <v>Do planu przyjęto kwotę zgodnie z pismem z LUW w Lublinie Nr Fn.I. 3021/730/2000</v>
          </cell>
        </row>
        <row r="105">
          <cell r="B105">
            <v>85319</v>
          </cell>
          <cell r="D105" t="str">
            <v>Terenowe ośrodki pomocy społecznej</v>
          </cell>
        </row>
        <row r="106">
          <cell r="C106">
            <v>1</v>
          </cell>
          <cell r="D106" t="str">
            <v>Dotacja na zadania zlecone (utrzymanie MOPS w Łęcznej)</v>
          </cell>
        </row>
        <row r="107">
          <cell r="D107" t="str">
            <v>Do planu przyjęto kwotę zgodnie z pismem z LUW w Lublinie Nr Fn.I. 3021/730/2000</v>
          </cell>
        </row>
        <row r="108">
          <cell r="B108">
            <v>85328</v>
          </cell>
          <cell r="D108" t="str">
            <v>Usługi opiekuńcze i specjalistyczne usługi opiekuńcze</v>
          </cell>
        </row>
        <row r="109">
          <cell r="C109">
            <v>1</v>
          </cell>
          <cell r="D109" t="str">
            <v>Wpływy z tytułu odpłatności za usługi opiekuńcze</v>
          </cell>
        </row>
        <row r="110">
          <cell r="D110" t="str">
            <v>Nie jest planowany wzrost dochodów z tego tytułu w 2001 roku.</v>
          </cell>
        </row>
        <row r="111">
          <cell r="A111">
            <v>9</v>
          </cell>
          <cell r="B111">
            <v>900</v>
          </cell>
          <cell r="D111" t="str">
            <v>GOSPODARKA KOMUNALNA I OCHRONA ŚRODOWISKA</v>
          </cell>
        </row>
        <row r="112">
          <cell r="B112">
            <v>90015</v>
          </cell>
          <cell r="D112" t="str">
            <v>Oświetlenie ulic</v>
          </cell>
        </row>
        <row r="113">
          <cell r="C113">
            <v>1</v>
          </cell>
          <cell r="D113" t="str">
            <v>Dotacja z UW w Lublinie na zadania zlecone gminom</v>
          </cell>
        </row>
        <row r="114">
          <cell r="D114" t="str">
            <v>Do planu przyjęto kwotę zgodnie z pismem z LUW w Lublinie Nr Fn.I. 3021/730/2000</v>
          </cell>
        </row>
        <row r="115">
          <cell r="D115" t="str">
            <v>  O G Ó Ł E M    D O C H O D Y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chody po KF"/>
      <sheetName val="Wydatki - po KF"/>
      <sheetName val="PLAN FIN.UM-2001 "/>
      <sheetName val="ZADANIA-2001"/>
      <sheetName val="Wydatki"/>
      <sheetName val="Dochody"/>
    </sheetNames>
    <sheetDataSet>
      <sheetData sheetId="5">
        <row r="1">
          <cell r="A1" t="str">
            <v>Lp</v>
          </cell>
          <cell r="B1" t="str">
            <v>Dział</v>
          </cell>
          <cell r="D1" t="str">
            <v>NAZWA DZIAŁU    -  tytuł</v>
          </cell>
        </row>
        <row r="3">
          <cell r="A3">
            <v>1</v>
          </cell>
          <cell r="B3" t="str">
            <v>010</v>
          </cell>
          <cell r="D3" t="str">
            <v>ROLNICTWO I ŁOWIECTWO</v>
          </cell>
        </row>
        <row r="4">
          <cell r="B4" t="str">
            <v>01095</v>
          </cell>
          <cell r="D4" t="str">
            <v>Pozostała działalność</v>
          </cell>
        </row>
        <row r="5">
          <cell r="C5">
            <v>1</v>
          </cell>
          <cell r="D5" t="str">
            <v>Sprzedaż świadectw miejsca pochodzenia zwierząt</v>
          </cell>
        </row>
        <row r="6">
          <cell r="D6" t="str">
            <v>Nie jest wzrost dochodów z tego tytułu w porównaniu do przewidywanego wykonania za 2000 roku</v>
          </cell>
        </row>
        <row r="7">
          <cell r="A7">
            <v>2</v>
          </cell>
          <cell r="B7">
            <v>700</v>
          </cell>
          <cell r="D7" t="str">
            <v>GOSPODARKA MIESZKANIOWA</v>
          </cell>
        </row>
        <row r="8">
          <cell r="B8">
            <v>70005</v>
          </cell>
          <cell r="D8" t="str">
            <v>Gospodarka gruntami i nieruchomościami</v>
          </cell>
        </row>
        <row r="9">
          <cell r="C9">
            <v>1</v>
          </cell>
          <cell r="D9" t="str">
            <v>Wpływy z tytułu najmu lokali użytkowych - czynsze komunalne </v>
          </cell>
        </row>
        <row r="10">
          <cell r="D10" t="str">
            <v>Planowany jest wzrost stawek czynszu z tego tytułu o 7% w stosunku do wysokości stawek w 2000 roku  - zgodnie z przyjętymi założeniami do projektu budżetu gminy Łęczna na 2001 rok.</v>
          </cell>
        </row>
        <row r="11">
          <cell r="C11">
            <v>2</v>
          </cell>
          <cell r="D11" t="str">
            <v>Wpływy ze sprzedaży mieszkań komunalnych i bydynków</v>
          </cell>
        </row>
        <row r="12">
          <cell r="D12" t="str">
            <v>Planowana jest sprzedaż 2 mieszkań komunalnych</v>
          </cell>
        </row>
        <row r="13">
          <cell r="C13">
            <v>3</v>
          </cell>
          <cell r="D13" t="str">
            <v>wpływy z dzierżawy działek</v>
          </cell>
        </row>
        <row r="14">
          <cell r="D14" t="str">
            <v>Planowany jest spadek dochodów z tego tytułu w porównaniu do przewidywanego wykonania za  2000 rok z uwagi na fakt, iż umowy zawarte z dzierżawcami przy ul. Targowej zostały zawarte do 30.06.2001 roku.</v>
          </cell>
        </row>
        <row r="15">
          <cell r="C15">
            <v>4</v>
          </cell>
          <cell r="D15" t="str">
            <v>wieczyste użytkowanie gruntów </v>
          </cell>
        </row>
        <row r="16">
          <cell r="D16" t="str">
            <v>Kwota zaplanowana w budżecie na rok 2001 wynika z sumowania wszystkich stawek wraz z nielicznymi zaległościami z uwzględnieniem sprzedaży działek.</v>
          </cell>
        </row>
        <row r="17">
          <cell r="C17">
            <v>5</v>
          </cell>
          <cell r="D17" t="str">
            <v>wpływy ze sprzedaży nieruchomości </v>
          </cell>
        </row>
        <row r="18">
          <cell r="D18" t="str">
            <v>Planowana jest sprzedaż nastepujących działek:</v>
          </cell>
        </row>
        <row r="19">
          <cell r="C19" t="str">
            <v>-</v>
          </cell>
          <cell r="D19" t="str">
            <v>2 działki przy ul. Rynek III</v>
          </cell>
        </row>
        <row r="20">
          <cell r="C20" t="str">
            <v>-</v>
          </cell>
          <cell r="D20" t="str">
            <v>1 działka przy ul. Pasternik</v>
          </cell>
        </row>
        <row r="21">
          <cell r="C21" t="str">
            <v>-</v>
          </cell>
          <cell r="D21" t="str">
            <v>4 działki przy ul. Rzemieślniczej</v>
          </cell>
        </row>
        <row r="22">
          <cell r="C22" t="str">
            <v>-</v>
          </cell>
          <cell r="D22" t="str">
            <v>1 działka przy ul. Al. Jana Pawła II</v>
          </cell>
        </row>
        <row r="23">
          <cell r="A23">
            <v>3</v>
          </cell>
          <cell r="B23">
            <v>750</v>
          </cell>
          <cell r="D23" t="str">
            <v>ADMINISTRACJA PUBLICZNA</v>
          </cell>
        </row>
        <row r="24">
          <cell r="B24">
            <v>75011</v>
          </cell>
          <cell r="D24" t="str">
            <v>Urzędy wojewódzkie</v>
          </cell>
        </row>
        <row r="25">
          <cell r="C25">
            <v>1</v>
          </cell>
          <cell r="D25" t="str">
            <v>Dotacja na zadania zlecone - środki z LUW Lublin</v>
          </cell>
        </row>
        <row r="26">
          <cell r="D26" t="str">
            <v>Do planu przyjęto kwotę na pdst. pisma z UW w Lublinie Nr Fn.I.3021/602/99</v>
          </cell>
        </row>
        <row r="27">
          <cell r="B27">
            <v>75023</v>
          </cell>
          <cell r="D27" t="str">
            <v>Urzędy gmin</v>
          </cell>
        </row>
        <row r="28">
          <cell r="C28">
            <v>1</v>
          </cell>
          <cell r="D28" t="str">
            <v>wynajm pomieszczeń</v>
          </cell>
        </row>
        <row r="29">
          <cell r="C29">
            <v>2</v>
          </cell>
          <cell r="D29" t="str">
            <v>wpływy z usług</v>
          </cell>
        </row>
        <row r="30">
          <cell r="C30">
            <v>3</v>
          </cell>
          <cell r="D30" t="str">
            <v>wpływy z opłaty administracyjnej za czynności urzędowe</v>
          </cell>
        </row>
        <row r="31">
          <cell r="D31" t="str">
            <v>Planowany jest wzrost dochodów z tych tytułów o 7 % w porównaniu do przewidywanego wykonania za 2000 rok - zgodnie z przyjętymi założeniami do projektu budżetu gminy Łęczna na 2001 rok.</v>
          </cell>
        </row>
        <row r="32">
          <cell r="B32" t="str">
            <v>75095</v>
          </cell>
          <cell r="D32" t="str">
            <v>Pozostała działalność</v>
          </cell>
        </row>
        <row r="33">
          <cell r="C33">
            <v>1</v>
          </cell>
          <cell r="D33" t="str">
            <v>Opłata za wydawanie zezwoleń na sprzedaż napojów alkoholowych</v>
          </cell>
        </row>
        <row r="34">
          <cell r="D34" t="str">
            <v>Wysokość opłaty za wydawanie zezwoleń na sprzedaż napojów alkoholowych uzależniona jest od ceny 1 l spirytusu, ustalanej corocznie przez Ministra Finansów.</v>
          </cell>
        </row>
        <row r="35">
          <cell r="D35" t="str">
            <v>Nie planuje się wzrostu dochodów z tego tytułu w 2001 roku</v>
          </cell>
        </row>
        <row r="36">
          <cell r="A36">
            <v>4</v>
          </cell>
          <cell r="B36">
            <v>751</v>
          </cell>
          <cell r="D36" t="str">
            <v>URZĘDY NACZELNYCH ORGANÓW WŁADZY PAŃSTWOWEJ, KONTROLI I OCHRONY PRAWA ORAZ SĄDOWNICTWA</v>
          </cell>
        </row>
        <row r="37">
          <cell r="B37">
            <v>75101</v>
          </cell>
          <cell r="D37" t="str">
            <v>Urzędy naczelnych organów władzy państwowej, kontroli i ochrony prawa</v>
          </cell>
        </row>
        <row r="38">
          <cell r="C38">
            <v>1</v>
          </cell>
          <cell r="D38" t="str">
            <v>Dotacja z Krajowego Biura Wyborczego na prowadzenie i aktualizację rejestru wyborców</v>
          </cell>
        </row>
        <row r="39">
          <cell r="D39" t="str">
            <v>Kwotę podano na pdst. pisma z KBW Nr KBW-0206-6/2000</v>
          </cell>
        </row>
        <row r="40">
          <cell r="A40">
            <v>5</v>
          </cell>
          <cell r="B40">
            <v>754</v>
          </cell>
          <cell r="D40" t="str">
            <v>BEZPIECZEŃSTWO PUBLICZNE i OCHRONA PRZECIWPOŻAROWA</v>
          </cell>
        </row>
        <row r="41">
          <cell r="B41">
            <v>75414</v>
          </cell>
          <cell r="D41" t="str">
            <v>Obrona cywilna</v>
          </cell>
        </row>
        <row r="42">
          <cell r="C42">
            <v>1</v>
          </cell>
          <cell r="D42" t="str">
            <v>Dotacja na zadania zlecone (obrona cywilna)</v>
          </cell>
        </row>
        <row r="43">
          <cell r="D43" t="str">
            <v>Kwota podana na pdst. pisma Nr Fn.I.3021/730/2000 z LUW w Lublinie</v>
          </cell>
        </row>
        <row r="44">
          <cell r="A44">
            <v>6</v>
          </cell>
          <cell r="B44">
            <v>756</v>
          </cell>
          <cell r="D44" t="str">
            <v>DOCHODY OD OSÓB PRAWNYCH,OD OSÓB FIZYCZNYCH I OD INNYCH JEDNOSTEK NIE POSIADAJĄCYCH OSOBOWOŚCI PRAWNEJ</v>
          </cell>
        </row>
        <row r="45">
          <cell r="B45" t="str">
            <v>75615</v>
          </cell>
          <cell r="D45" t="str">
            <v>Wpływy z podatku rolnego, podatku leśnego podatku od czynności cywilnoprawnych oraz podatków i opłat lokalnych od osób prawnych i innych jednostek organizacyjnych</v>
          </cell>
        </row>
        <row r="46">
          <cell r="C46">
            <v>1</v>
          </cell>
          <cell r="D46" t="str">
            <v>podatek od nieruchomości od osób prawnych</v>
          </cell>
        </row>
        <row r="47">
          <cell r="D47" t="str">
            <v>Planowany jest wzrost stawek podatkowych o 12 % w porównaniu do stawek z roku 2000. W 2000 roku nie nastąpił wzrost stawek podatkwoych w porównaiu do 1999 roku.</v>
          </cell>
        </row>
        <row r="48">
          <cell r="C48">
            <v>2</v>
          </cell>
          <cell r="D48" t="str">
            <v>podatek rolny od osób prawnych</v>
          </cell>
        </row>
        <row r="49">
          <cell r="D49" t="str">
            <v>Planowany jest wzrost stawek podatkowych o 12 % - zgodnie z przyjętymi założeniami do projektu budżetu gminy Łęczna na 2001 rok.</v>
          </cell>
        </row>
        <row r="50">
          <cell r="C50">
            <v>3</v>
          </cell>
          <cell r="D50" t="str">
            <v>podatek leśny</v>
          </cell>
        </row>
        <row r="51">
          <cell r="C51">
            <v>4</v>
          </cell>
          <cell r="D51" t="str">
            <v>podatek od środków transportowych</v>
          </cell>
        </row>
        <row r="52">
          <cell r="D52" t="str">
            <v>Planowany jest wzrost stawek podatkowych o 12 % - zgodnie z przyjętymi założeniami do projektu budżetu gminy Łęczna na 2001 rok.</v>
          </cell>
        </row>
        <row r="53">
          <cell r="C53">
            <v>5</v>
          </cell>
          <cell r="D53" t="str">
            <v>Odsetki od nieterminowych wpłat podatków i opłat</v>
          </cell>
        </row>
        <row r="54">
          <cell r="B54">
            <v>75616</v>
          </cell>
          <cell r="D54" t="str">
            <v>Wpływy z podatku rolnego, podatku leśnego, podatku os spadków i darowizn, podatku od czynności cywilnoprawnych oraz podatków i opłat lokalnych od osób fizycznych</v>
          </cell>
        </row>
        <row r="55">
          <cell r="C55">
            <v>1</v>
          </cell>
          <cell r="D55" t="str">
            <v>podatek od nieruchomości</v>
          </cell>
        </row>
        <row r="56">
          <cell r="D56" t="str">
            <v>Planowany jest wzrost stawek podatkowych o 12 % w porównaniu do stawek z roku 2000. W 2000 roku nie nastąpił wzrost stawek podatkowych w porównaiu do 1999 roku.</v>
          </cell>
        </row>
        <row r="57">
          <cell r="C57">
            <v>2</v>
          </cell>
          <cell r="D57" t="str">
            <v>podatek rolny od osób fizycznych</v>
          </cell>
        </row>
        <row r="58">
          <cell r="D58" t="str">
            <v>Planowany jest wzrost stawek podatkowych o 12 % - zgodnie z przyjętymi założeniami do projektu budżetu gminy Łęczna na 2001 rok.</v>
          </cell>
        </row>
        <row r="59">
          <cell r="C59">
            <v>3</v>
          </cell>
          <cell r="D59" t="str">
            <v>podatek od środków transportowych od osób fizycznych</v>
          </cell>
        </row>
        <row r="60">
          <cell r="D60" t="str">
            <v>Planowany jest wzrost stawek podatkowych o 12 % - zgodnie z przyjętymi założeniami do projektu budżetu gminy Łęczna na 2001 rok.</v>
          </cell>
        </row>
        <row r="61">
          <cell r="C61">
            <v>4</v>
          </cell>
          <cell r="D61" t="str">
            <v>Podatek od działalności gospodarczej osób fizycznych, opłacany w formie karty podatkowej</v>
          </cell>
        </row>
        <row r="62">
          <cell r="D62" t="str">
            <v>Nie jest planowany wzrost dochodów z tego tytułu, z uwagi na fakt zmniejszania się liczby podmiotów rozliczających się z podatku w tej formie. </v>
          </cell>
        </row>
        <row r="63">
          <cell r="C63">
            <v>5</v>
          </cell>
          <cell r="D63" t="str">
            <v>podatek od spadków i darowizn</v>
          </cell>
        </row>
        <row r="64">
          <cell r="D64" t="str">
            <v>Planowany jest wzrost dochodów z tego tytułu o 7 % w porównaniu do przewidywanego wykonania za 2000 rok - zgodnie z przyjętymi założeniami do projektu budżetu gminy Łęczna na 2001 rok.</v>
          </cell>
        </row>
        <row r="65">
          <cell r="C65">
            <v>6</v>
          </cell>
          <cell r="D65" t="str">
            <v>wpływy z opłaty targowej</v>
          </cell>
        </row>
        <row r="66">
          <cell r="D66" t="str">
            <v>Planowany jest wzrost stawek opłaty targowej o 12% - zgodnie z przyjętymi założeniami do projektu budżetu gminy Łęczna na 2001 rok.</v>
          </cell>
        </row>
        <row r="67">
          <cell r="C67">
            <v>7</v>
          </cell>
          <cell r="D67" t="str">
            <v>zaległości z podatków zniesionych - śr. transportowe od osób fizycznych (sam. osobowe)</v>
          </cell>
        </row>
        <row r="68">
          <cell r="C68">
            <v>8</v>
          </cell>
          <cell r="D68" t="str">
            <v>Odsetki od nieterminowych wpłat podatków i opłat</v>
          </cell>
        </row>
        <row r="69">
          <cell r="D69" t="str">
            <v>Planowany jest spadek dochodów z tego tytułu z uwagi na spadek wysokości ustawowych odsetek od zaległości.</v>
          </cell>
        </row>
        <row r="70">
          <cell r="C70">
            <v>9</v>
          </cell>
          <cell r="D70" t="str">
            <v>podatek od czynności cywilno- prawnych</v>
          </cell>
        </row>
        <row r="71">
          <cell r="D71" t="str">
            <v>Źródło dochodów wprowadzono zgodnie ze zmianą przepisów o opłacie skarbowej.</v>
          </cell>
        </row>
        <row r="72">
          <cell r="B72">
            <v>75618</v>
          </cell>
          <cell r="D72" t="str">
            <v>Wpływy z opłaty skarbowej</v>
          </cell>
        </row>
        <row r="73">
          <cell r="C73">
            <v>1</v>
          </cell>
          <cell r="D73" t="str">
            <v>Opłata skarbowa - wpływy z Urzędów Skarbowych</v>
          </cell>
        </row>
        <row r="74">
          <cell r="D74" t="str">
            <v>Planuje się zmniejszenie dochodów z tego tytułu.Dnia 9.IX.2000 r. ogłoszono znowelizowaną ustawę o opłacie skarbowej.Zgodnie z tym aktem prawnym opłata skarbowa będzie pobierana od:</v>
          </cell>
        </row>
        <row r="75">
          <cell r="D75" t="str">
            <v>1). podań, załączników do podań, zaświadczeń, zezwoleń - dochody z tego tytułu mają marginalne znaczenie dla gminy.</v>
          </cell>
        </row>
        <row r="76">
          <cell r="B76">
            <v>75621</v>
          </cell>
          <cell r="D76" t="str">
            <v>Udziały gmin w podatkach stanowiących dochód budżetu państwa</v>
          </cell>
        </row>
        <row r="77">
          <cell r="C77">
            <v>1</v>
          </cell>
          <cell r="D77" t="str">
            <v>podatek dochodowy od osób fizycznych</v>
          </cell>
        </row>
        <row r="78">
          <cell r="D78" t="str">
            <v>Kwota podana na pdst. pisma z Min. Finansów Nr ST3-444-64/2000</v>
          </cell>
        </row>
        <row r="79">
          <cell r="C79">
            <v>2</v>
          </cell>
          <cell r="D79" t="str">
            <v>podatek dochodowy od osób prawnych</v>
          </cell>
        </row>
        <row r="80">
          <cell r="D80" t="str">
            <v>Planowany jest spadek wpływów z tego tytułu z uwagi na obniżenie stawki podatku dochodowego.</v>
          </cell>
        </row>
        <row r="81">
          <cell r="A81">
            <v>7</v>
          </cell>
          <cell r="B81">
            <v>758</v>
          </cell>
          <cell r="D81" t="str">
            <v>RÓŻNE ROZLICZENIA</v>
          </cell>
        </row>
        <row r="82">
          <cell r="B82">
            <v>75801</v>
          </cell>
          <cell r="D82" t="str">
            <v>Część oświatowa subwencji ogólnej dla jst</v>
          </cell>
        </row>
        <row r="83">
          <cell r="C83">
            <v>1</v>
          </cell>
          <cell r="D83" t="str">
            <v>subwencja oświatowa</v>
          </cell>
        </row>
        <row r="84">
          <cell r="D84" t="str">
            <v>Kwota podana na pdst. pisma z Min. Finansów Nr ST3-444-64/2000</v>
          </cell>
        </row>
        <row r="85">
          <cell r="B85">
            <v>75802</v>
          </cell>
          <cell r="D85" t="str">
            <v>Część podstawowa subwencji ogólnej dla gmin</v>
          </cell>
        </row>
        <row r="86">
          <cell r="C86">
            <v>1</v>
          </cell>
          <cell r="D86" t="str">
            <v>subwencja ogólna dla gmin</v>
          </cell>
        </row>
        <row r="87">
          <cell r="D87" t="str">
            <v>Kwota podana na pdst. pisma z Min. Finansów Nr ST3-444-64/2000</v>
          </cell>
        </row>
        <row r="88">
          <cell r="B88">
            <v>75805</v>
          </cell>
          <cell r="D88" t="str">
            <v>Część rekompensująca subwencji ogólnej dla gmin</v>
          </cell>
        </row>
        <row r="89">
          <cell r="C89">
            <v>1</v>
          </cell>
          <cell r="D89" t="str">
            <v>subwencja ogólna</v>
          </cell>
        </row>
        <row r="90">
          <cell r="D90" t="str">
            <v>Kwota podana na pdst. pisma z Min. Finansów Nr ST3-444-64/2000</v>
          </cell>
        </row>
        <row r="91">
          <cell r="B91">
            <v>75814</v>
          </cell>
          <cell r="D91" t="str">
            <v>Różne rozliczenia finansowe</v>
          </cell>
        </row>
        <row r="92">
          <cell r="C92">
            <v>1</v>
          </cell>
          <cell r="D92" t="str">
            <v>Odsetki na rachunku bieżącycm</v>
          </cell>
        </row>
        <row r="93">
          <cell r="A93">
            <v>8</v>
          </cell>
          <cell r="B93">
            <v>853</v>
          </cell>
          <cell r="D93" t="str">
            <v>OPIEKA SPOŁECZNA</v>
          </cell>
        </row>
        <row r="94">
          <cell r="B94">
            <v>85303</v>
          </cell>
          <cell r="D94" t="str">
            <v>Ośrodki wsparcia</v>
          </cell>
        </row>
        <row r="95">
          <cell r="C95">
            <v>1</v>
          </cell>
          <cell r="D95" t="str">
            <v>Dotacja na zadania zlecone (Środowiskowy Dom Samopomocy w Łęcznej)</v>
          </cell>
        </row>
        <row r="96">
          <cell r="D96" t="str">
            <v>Do planu przyjęto kwotę zgodnie z pismem z LUW w Lublinie Nr Fn.I. 3021/730/2000</v>
          </cell>
        </row>
        <row r="97">
          <cell r="C97">
            <v>2</v>
          </cell>
          <cell r="D97" t="str">
            <v>Dotacja na zadania zlecone (Środowiskowy Dom Samopomocy w Łęcznej)</v>
          </cell>
        </row>
        <row r="98">
          <cell r="D98" t="str">
            <v>Do planu przyjęto kwotę zgodnie z pismem z LUW w Lublinie Nr Fn.I. 3021/730/2000</v>
          </cell>
        </row>
        <row r="99">
          <cell r="B99">
            <v>85314</v>
          </cell>
          <cell r="D99" t="str">
            <v>Zasiłki i pomoc w naturze oraz składki na ubezpieczenie społeczne i zdrowotne</v>
          </cell>
        </row>
        <row r="100">
          <cell r="C100">
            <v>1</v>
          </cell>
          <cell r="D100" t="str">
            <v>Dotacja na zadania zlecone (wypłata zasiłków przez MOPS)</v>
          </cell>
        </row>
        <row r="101">
          <cell r="D101" t="str">
            <v>Do planu przyjęto kwotę zgodnie z pismem z LUW w Lublinie Nr Fn.I. 3021/730/2000</v>
          </cell>
        </row>
        <row r="102">
          <cell r="B102">
            <v>85316</v>
          </cell>
          <cell r="D102" t="str">
            <v>Zasiłki rodzinne, pielęgnacyjne i wychowawcze</v>
          </cell>
        </row>
        <row r="103">
          <cell r="C103">
            <v>1</v>
          </cell>
          <cell r="D103" t="str">
            <v>Dotacja na zadania zlecone (wypłata zasiłków)</v>
          </cell>
        </row>
        <row r="104">
          <cell r="D104" t="str">
            <v>Do planu przyjęto kwotę zgodnie z pismem z LUW w Lublinie Nr Fn.I. 3021/730/2000</v>
          </cell>
        </row>
        <row r="105">
          <cell r="B105">
            <v>85319</v>
          </cell>
          <cell r="D105" t="str">
            <v>Terenowe ośrodki pomocy społecznej</v>
          </cell>
        </row>
        <row r="106">
          <cell r="C106">
            <v>1</v>
          </cell>
          <cell r="D106" t="str">
            <v>Dotacja na zadania zlecone (utrzymanie MOPS w Łęcznej)</v>
          </cell>
        </row>
        <row r="107">
          <cell r="D107" t="str">
            <v>Do planu przyjęto kwotę zgodnie z pismem z LUW w Lublinie Nr Fn.I. 3021/730/2000</v>
          </cell>
        </row>
        <row r="108">
          <cell r="B108">
            <v>85328</v>
          </cell>
          <cell r="D108" t="str">
            <v>Usługi opiekuńcze i specjalistyczne usługi opiekuńcze</v>
          </cell>
        </row>
        <row r="109">
          <cell r="C109">
            <v>1</v>
          </cell>
          <cell r="D109" t="str">
            <v>Wpływy z tytułu odpłatności za usługi opiekuńcze</v>
          </cell>
        </row>
        <row r="110">
          <cell r="D110" t="str">
            <v>Nie jest planowany wzrost dochodów z tego tytułu w 2001 roku.</v>
          </cell>
        </row>
        <row r="111">
          <cell r="A111">
            <v>9</v>
          </cell>
          <cell r="B111">
            <v>900</v>
          </cell>
          <cell r="D111" t="str">
            <v>GOSPODARKA KOMUNALNA I OCHRONA ŚRODOWISKA</v>
          </cell>
        </row>
        <row r="112">
          <cell r="B112">
            <v>90015</v>
          </cell>
          <cell r="D112" t="str">
            <v>Oświetlenie ulic</v>
          </cell>
        </row>
        <row r="113">
          <cell r="C113">
            <v>1</v>
          </cell>
          <cell r="D113" t="str">
            <v>Dotacja z UW w Lublinie na zadania zlecone gminom</v>
          </cell>
        </row>
        <row r="114">
          <cell r="D114" t="str">
            <v>Do planu przyjęto kwotę zgodnie z pismem z LUW w Lublinie Nr Fn.I. 3021/730/2000</v>
          </cell>
        </row>
        <row r="115">
          <cell r="D115" t="str">
            <v>  O G Ó Ł E M    D O C H O D Y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K1616"/>
  <sheetViews>
    <sheetView tabSelected="1" defaultGridColor="0" zoomScale="90" zoomScaleNormal="90" colorId="22" workbookViewId="0" topLeftCell="A1">
      <pane ySplit="2" topLeftCell="W3" activePane="bottomLeft" state="frozen"/>
      <selection pane="topLeft" activeCell="A1" sqref="A1"/>
      <selection pane="bottomLeft" activeCell="D180" sqref="D180"/>
    </sheetView>
  </sheetViews>
  <sheetFormatPr defaultColWidth="16.25390625" defaultRowHeight="12.75"/>
  <cols>
    <col min="1" max="1" width="5.00390625" style="1393" customWidth="1"/>
    <col min="2" max="2" width="11.625" style="1394" customWidth="1"/>
    <col min="3" max="3" width="3.00390625" style="1395" customWidth="1"/>
    <col min="4" max="4" width="59.25390625" style="1396" customWidth="1"/>
    <col min="5" max="5" width="9.75390625" style="1397" customWidth="1"/>
    <col min="6" max="7" width="16.375" style="1398" customWidth="1"/>
    <col min="8" max="8" width="15.25390625" style="1399" customWidth="1"/>
    <col min="9" max="9" width="15.125" style="1399" customWidth="1"/>
    <col min="10" max="10" width="16.25390625" style="1259" customWidth="1"/>
    <col min="11" max="12" width="16.25390625" style="1260" customWidth="1"/>
    <col min="13" max="13" width="34.375" style="1260" customWidth="1"/>
    <col min="14" max="23" width="16.25390625" style="1260" customWidth="1"/>
    <col min="24" max="24" width="42.125" style="1260" customWidth="1"/>
    <col min="25" max="25" width="11.25390625" style="1260" customWidth="1"/>
    <col min="26" max="33" width="16.25390625" style="1260" customWidth="1"/>
    <col min="34" max="34" width="28.00390625" style="1261" customWidth="1"/>
    <col min="35" max="35" width="17.75390625" style="1261" customWidth="1"/>
    <col min="36" max="16384" width="16.25390625" style="1261" customWidth="1"/>
  </cols>
  <sheetData>
    <row r="1" spans="1:9" ht="39.75" customHeight="1">
      <c r="A1" s="2010" t="s">
        <v>1190</v>
      </c>
      <c r="B1" s="1400" t="s">
        <v>1191</v>
      </c>
      <c r="C1" s="1401"/>
      <c r="D1" s="2012" t="s">
        <v>1192</v>
      </c>
      <c r="E1" s="2014" t="s">
        <v>171</v>
      </c>
      <c r="F1" s="1402" t="s">
        <v>172</v>
      </c>
      <c r="G1" s="1403" t="s">
        <v>173</v>
      </c>
      <c r="H1" s="1404" t="s">
        <v>706</v>
      </c>
      <c r="I1" s="1404"/>
    </row>
    <row r="2" spans="1:9" ht="55.5" customHeight="1">
      <c r="A2" s="2011"/>
      <c r="B2" s="1405" t="s">
        <v>174</v>
      </c>
      <c r="C2" s="1406"/>
      <c r="D2" s="2013"/>
      <c r="E2" s="2015"/>
      <c r="F2" s="1407" t="s">
        <v>175</v>
      </c>
      <c r="G2" s="1408" t="s">
        <v>176</v>
      </c>
      <c r="H2" s="1409" t="s">
        <v>177</v>
      </c>
      <c r="I2" s="1409" t="s">
        <v>178</v>
      </c>
    </row>
    <row r="3" spans="1:10" s="1268" customFormat="1" ht="45" customHeight="1">
      <c r="A3" s="1262">
        <v>1</v>
      </c>
      <c r="B3" s="1262">
        <v>600</v>
      </c>
      <c r="C3" s="1263"/>
      <c r="D3" s="1264" t="s">
        <v>25</v>
      </c>
      <c r="E3" s="1265"/>
      <c r="F3" s="1266">
        <f aca="true" t="shared" si="0" ref="F3:I4">F4</f>
        <v>2111364</v>
      </c>
      <c r="G3" s="1266">
        <f t="shared" si="0"/>
        <v>629621</v>
      </c>
      <c r="H3" s="1266">
        <f t="shared" si="0"/>
        <v>0</v>
      </c>
      <c r="I3" s="1266">
        <f t="shared" si="0"/>
        <v>0</v>
      </c>
      <c r="J3" s="1267"/>
    </row>
    <row r="4" spans="1:10" s="1268" customFormat="1" ht="45" customHeight="1">
      <c r="A4" s="1269"/>
      <c r="B4" s="1270">
        <v>60016</v>
      </c>
      <c r="C4" s="1271"/>
      <c r="D4" s="1272" t="s">
        <v>26</v>
      </c>
      <c r="E4" s="1273"/>
      <c r="F4" s="1274">
        <f>F5+F6</f>
        <v>2111364</v>
      </c>
      <c r="G4" s="1274">
        <f>G5+G6</f>
        <v>629621</v>
      </c>
      <c r="H4" s="1274">
        <f t="shared" si="0"/>
        <v>0</v>
      </c>
      <c r="I4" s="1274">
        <f t="shared" si="0"/>
        <v>0</v>
      </c>
      <c r="J4" s="1267"/>
    </row>
    <row r="5" spans="1:33" s="1281" customFormat="1" ht="39.75" customHeight="1">
      <c r="A5" s="1410"/>
      <c r="B5" s="1410"/>
      <c r="C5" s="1275">
        <v>1</v>
      </c>
      <c r="D5" s="1276" t="s">
        <v>179</v>
      </c>
      <c r="E5" s="1277" t="s">
        <v>180</v>
      </c>
      <c r="F5" s="1278">
        <v>18000</v>
      </c>
      <c r="G5" s="1278">
        <v>20000</v>
      </c>
      <c r="H5" s="1278"/>
      <c r="I5" s="1278"/>
      <c r="J5" s="1279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0"/>
      <c r="AE5" s="1280"/>
      <c r="AF5" s="1280"/>
      <c r="AG5" s="1280"/>
    </row>
    <row r="6" spans="1:33" s="1281" customFormat="1" ht="112.5" customHeight="1">
      <c r="A6" s="1410"/>
      <c r="B6" s="1410"/>
      <c r="C6" s="1287">
        <v>2</v>
      </c>
      <c r="D6" s="1571" t="s">
        <v>980</v>
      </c>
      <c r="E6" s="1325">
        <v>6298</v>
      </c>
      <c r="F6" s="1327">
        <v>2093364</v>
      </c>
      <c r="G6" s="1327">
        <v>609621</v>
      </c>
      <c r="H6" s="1327"/>
      <c r="I6" s="1327"/>
      <c r="J6" s="1279"/>
      <c r="K6" s="1280"/>
      <c r="L6" s="1280"/>
      <c r="M6" s="1280"/>
      <c r="N6" s="1280"/>
      <c r="O6" s="1280"/>
      <c r="P6" s="1280"/>
      <c r="Q6" s="1280"/>
      <c r="R6" s="1280"/>
      <c r="S6" s="1280"/>
      <c r="T6" s="1280"/>
      <c r="U6" s="1280"/>
      <c r="V6" s="1280"/>
      <c r="W6" s="1280"/>
      <c r="X6" s="1280"/>
      <c r="Y6" s="1280"/>
      <c r="Z6" s="1280"/>
      <c r="AA6" s="1280"/>
      <c r="AB6" s="1280"/>
      <c r="AC6" s="1280"/>
      <c r="AD6" s="1280"/>
      <c r="AE6" s="1280"/>
      <c r="AF6" s="1280"/>
      <c r="AG6" s="1280"/>
    </row>
    <row r="7" spans="1:10" s="1268" customFormat="1" ht="45" customHeight="1">
      <c r="A7" s="1262">
        <v>2</v>
      </c>
      <c r="B7" s="1262">
        <v>700</v>
      </c>
      <c r="C7" s="1263"/>
      <c r="D7" s="1282" t="s">
        <v>753</v>
      </c>
      <c r="E7" s="1265"/>
      <c r="F7" s="1266">
        <f>F8</f>
        <v>457531</v>
      </c>
      <c r="G7" s="1266">
        <f>G8</f>
        <v>753923</v>
      </c>
      <c r="H7" s="1266">
        <f>H8</f>
        <v>0</v>
      </c>
      <c r="I7" s="1266">
        <f>I8</f>
        <v>0</v>
      </c>
      <c r="J7" s="1267"/>
    </row>
    <row r="8" spans="1:10" s="1268" customFormat="1" ht="45" customHeight="1">
      <c r="A8" s="1269"/>
      <c r="B8" s="1270">
        <v>70005</v>
      </c>
      <c r="C8" s="1271"/>
      <c r="D8" s="1272" t="s">
        <v>754</v>
      </c>
      <c r="E8" s="1273"/>
      <c r="F8" s="1274">
        <f>F9+F11+F13+F15+F20+F21</f>
        <v>457531</v>
      </c>
      <c r="G8" s="1274">
        <f>G9+G11+G13+G15+G20+G21</f>
        <v>753923</v>
      </c>
      <c r="H8" s="1274">
        <f>H9+H11+H13+H15</f>
        <v>0</v>
      </c>
      <c r="I8" s="1274">
        <f>I9+I11+I13+I15</f>
        <v>0</v>
      </c>
      <c r="J8" s="1267"/>
    </row>
    <row r="9" spans="1:33" s="1281" customFormat="1" ht="44.25" customHeight="1">
      <c r="A9" s="1410"/>
      <c r="B9" s="1410"/>
      <c r="C9" s="1283">
        <v>1</v>
      </c>
      <c r="D9" s="1284" t="s">
        <v>181</v>
      </c>
      <c r="E9" s="1285" t="s">
        <v>182</v>
      </c>
      <c r="F9" s="1286">
        <v>4856</v>
      </c>
      <c r="G9" s="1286">
        <v>5000</v>
      </c>
      <c r="H9" s="1286"/>
      <c r="I9" s="1286"/>
      <c r="J9" s="1279"/>
      <c r="K9" s="1280"/>
      <c r="L9" s="1280"/>
      <c r="M9" s="1280"/>
      <c r="N9" s="1280"/>
      <c r="O9" s="1280"/>
      <c r="P9" s="1280"/>
      <c r="Q9" s="1280"/>
      <c r="R9" s="1280"/>
      <c r="S9" s="1280"/>
      <c r="T9" s="1280"/>
      <c r="U9" s="1280"/>
      <c r="V9" s="1280"/>
      <c r="W9" s="1280"/>
      <c r="X9" s="1280"/>
      <c r="Y9" s="1280"/>
      <c r="Z9" s="1280"/>
      <c r="AA9" s="1280"/>
      <c r="AB9" s="1280"/>
      <c r="AC9" s="1280"/>
      <c r="AD9" s="1280"/>
      <c r="AE9" s="1280"/>
      <c r="AF9" s="1280"/>
      <c r="AG9" s="1280"/>
    </row>
    <row r="10" spans="1:33" s="1291" customFormat="1" ht="48" customHeight="1">
      <c r="A10" s="1410"/>
      <c r="B10" s="1410"/>
      <c r="C10" s="1287"/>
      <c r="D10" s="2005" t="s">
        <v>315</v>
      </c>
      <c r="E10" s="2005"/>
      <c r="F10" s="2005"/>
      <c r="G10" s="2005"/>
      <c r="H10" s="2005"/>
      <c r="I10" s="2006"/>
      <c r="J10" s="1289" t="s">
        <v>526</v>
      </c>
      <c r="K10" s="1290"/>
      <c r="L10" s="1290"/>
      <c r="M10" s="1290"/>
      <c r="N10" s="1290"/>
      <c r="O10" s="1290"/>
      <c r="P10" s="1290"/>
      <c r="Q10" s="1290"/>
      <c r="R10" s="1290"/>
      <c r="S10" s="1290"/>
      <c r="T10" s="1290"/>
      <c r="U10" s="1290"/>
      <c r="V10" s="1290"/>
      <c r="W10" s="1290"/>
      <c r="X10" s="1290"/>
      <c r="Y10" s="1290"/>
      <c r="Z10" s="1290"/>
      <c r="AA10" s="1290"/>
      <c r="AB10" s="1290"/>
      <c r="AC10" s="1290"/>
      <c r="AD10" s="1290"/>
      <c r="AE10" s="1290"/>
      <c r="AF10" s="1290"/>
      <c r="AG10" s="1290"/>
    </row>
    <row r="11" spans="1:33" s="1281" customFormat="1" ht="35.25" customHeight="1">
      <c r="A11" s="1410"/>
      <c r="B11" s="1410"/>
      <c r="C11" s="1283">
        <v>2</v>
      </c>
      <c r="D11" s="1293" t="s">
        <v>184</v>
      </c>
      <c r="E11" s="1285" t="s">
        <v>182</v>
      </c>
      <c r="F11" s="1286">
        <v>165656</v>
      </c>
      <c r="G11" s="1286">
        <f>170626+642</f>
        <v>171268</v>
      </c>
      <c r="H11" s="1286"/>
      <c r="I11" s="1286"/>
      <c r="J11" s="1279"/>
      <c r="K11" s="1280"/>
      <c r="L11" s="1280"/>
      <c r="M11" s="1280"/>
      <c r="N11" s="1280"/>
      <c r="O11" s="1280"/>
      <c r="P11" s="1280"/>
      <c r="Q11" s="1280"/>
      <c r="R11" s="1280"/>
      <c r="S11" s="1280"/>
      <c r="T11" s="1280"/>
      <c r="U11" s="1280"/>
      <c r="V11" s="1280"/>
      <c r="W11" s="1280"/>
      <c r="X11" s="1280"/>
      <c r="Y11" s="1280"/>
      <c r="Z11" s="1280"/>
      <c r="AA11" s="1280"/>
      <c r="AB11" s="1280"/>
      <c r="AC11" s="1280"/>
      <c r="AD11" s="1280"/>
      <c r="AE11" s="1280"/>
      <c r="AF11" s="1280"/>
      <c r="AG11" s="1280"/>
    </row>
    <row r="12" spans="1:33" s="1281" customFormat="1" ht="42" customHeight="1">
      <c r="A12" s="1410"/>
      <c r="B12" s="1410"/>
      <c r="C12" s="1287"/>
      <c r="D12" s="2004" t="s">
        <v>316</v>
      </c>
      <c r="E12" s="2005"/>
      <c r="F12" s="2005"/>
      <c r="G12" s="2005"/>
      <c r="H12" s="2005"/>
      <c r="I12" s="2006"/>
      <c r="J12" s="1279" t="s">
        <v>526</v>
      </c>
      <c r="K12" s="1280"/>
      <c r="L12" s="1280"/>
      <c r="M12" s="1280"/>
      <c r="N12" s="1280"/>
      <c r="O12" s="1280"/>
      <c r="P12" s="1280"/>
      <c r="Q12" s="1280"/>
      <c r="R12" s="1280"/>
      <c r="S12" s="1280"/>
      <c r="T12" s="1280"/>
      <c r="U12" s="1280"/>
      <c r="V12" s="1280"/>
      <c r="W12" s="1280"/>
      <c r="X12" s="1280"/>
      <c r="Y12" s="1280"/>
      <c r="Z12" s="1280"/>
      <c r="AA12" s="1280"/>
      <c r="AB12" s="1280"/>
      <c r="AC12" s="1280"/>
      <c r="AD12" s="1280"/>
      <c r="AE12" s="1280"/>
      <c r="AF12" s="1280"/>
      <c r="AG12" s="1280"/>
    </row>
    <row r="13" spans="1:33" s="1291" customFormat="1" ht="27" customHeight="1">
      <c r="A13" s="1410"/>
      <c r="B13" s="1410"/>
      <c r="C13" s="1283">
        <v>3</v>
      </c>
      <c r="D13" s="1293" t="s">
        <v>185</v>
      </c>
      <c r="E13" s="1285" t="s">
        <v>186</v>
      </c>
      <c r="F13" s="1286">
        <v>96960</v>
      </c>
      <c r="G13" s="1286">
        <v>90000</v>
      </c>
      <c r="H13" s="1286"/>
      <c r="I13" s="1286"/>
      <c r="J13" s="1289"/>
      <c r="K13" s="1290"/>
      <c r="L13" s="1290"/>
      <c r="M13" s="1290"/>
      <c r="N13" s="1290"/>
      <c r="O13" s="1290"/>
      <c r="P13" s="1290"/>
      <c r="Q13" s="1290"/>
      <c r="R13" s="1290"/>
      <c r="S13" s="1290"/>
      <c r="T13" s="1290"/>
      <c r="U13" s="1290"/>
      <c r="V13" s="1290"/>
      <c r="W13" s="1290"/>
      <c r="X13" s="1290"/>
      <c r="Y13" s="1290"/>
      <c r="Z13" s="1290"/>
      <c r="AA13" s="1290"/>
      <c r="AB13" s="1290"/>
      <c r="AC13" s="1290"/>
      <c r="AD13" s="1290"/>
      <c r="AE13" s="1290"/>
      <c r="AF13" s="1290"/>
      <c r="AG13" s="1290"/>
    </row>
    <row r="14" spans="1:33" s="1281" customFormat="1" ht="49.5" customHeight="1">
      <c r="A14" s="1410"/>
      <c r="B14" s="1410"/>
      <c r="C14" s="1287"/>
      <c r="D14" s="2004" t="s">
        <v>312</v>
      </c>
      <c r="E14" s="2005"/>
      <c r="F14" s="2005"/>
      <c r="G14" s="2005"/>
      <c r="H14" s="2005"/>
      <c r="I14" s="2006"/>
      <c r="J14" s="1279"/>
      <c r="K14" s="1280"/>
      <c r="L14" s="1280"/>
      <c r="M14" s="1280"/>
      <c r="N14" s="1280"/>
      <c r="O14" s="1280"/>
      <c r="P14" s="1280"/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  <c r="AD14" s="1280"/>
      <c r="AE14" s="1280"/>
      <c r="AF14" s="1280"/>
      <c r="AG14" s="1280"/>
    </row>
    <row r="15" spans="1:33" s="1281" customFormat="1" ht="33" customHeight="1">
      <c r="A15" s="1410"/>
      <c r="B15" s="1410"/>
      <c r="C15" s="1283">
        <v>4</v>
      </c>
      <c r="D15" s="1293" t="s">
        <v>203</v>
      </c>
      <c r="E15" s="1285" t="s">
        <v>204</v>
      </c>
      <c r="F15" s="1286">
        <v>84114</v>
      </c>
      <c r="G15" s="1286">
        <v>480000</v>
      </c>
      <c r="H15" s="1286"/>
      <c r="I15" s="1286"/>
      <c r="J15" s="1279"/>
      <c r="K15" s="1280"/>
      <c r="L15" s="1280"/>
      <c r="M15" s="1280"/>
      <c r="N15" s="1280"/>
      <c r="O15" s="1280"/>
      <c r="P15" s="1280"/>
      <c r="Q15" s="1280"/>
      <c r="R15" s="1280"/>
      <c r="S15" s="1280"/>
      <c r="T15" s="1280"/>
      <c r="U15" s="1280"/>
      <c r="V15" s="1280"/>
      <c r="W15" s="1280"/>
      <c r="X15" s="1280"/>
      <c r="Y15" s="1280"/>
      <c r="Z15" s="1280"/>
      <c r="AA15" s="1280"/>
      <c r="AB15" s="1280"/>
      <c r="AC15" s="1280"/>
      <c r="AD15" s="1280"/>
      <c r="AE15" s="1280"/>
      <c r="AF15" s="1280"/>
      <c r="AG15" s="1280"/>
    </row>
    <row r="16" spans="1:33" s="1281" customFormat="1" ht="24.75" customHeight="1">
      <c r="A16" s="1410"/>
      <c r="B16" s="1410"/>
      <c r="C16" s="1287"/>
      <c r="D16" s="2005" t="s">
        <v>205</v>
      </c>
      <c r="E16" s="2005"/>
      <c r="F16" s="2005"/>
      <c r="G16" s="2005"/>
      <c r="H16" s="2005"/>
      <c r="I16" s="2006"/>
      <c r="J16" s="1279"/>
      <c r="K16" s="1280"/>
      <c r="L16" s="1280"/>
      <c r="M16" s="1280"/>
      <c r="N16" s="1280"/>
      <c r="O16" s="1280"/>
      <c r="P16" s="1280"/>
      <c r="Q16" s="1280"/>
      <c r="R16" s="1280"/>
      <c r="S16" s="1280"/>
      <c r="T16" s="1280"/>
      <c r="U16" s="1280"/>
      <c r="V16" s="1280"/>
      <c r="W16" s="1280"/>
      <c r="X16" s="1280"/>
      <c r="Y16" s="1280"/>
      <c r="Z16" s="1280"/>
      <c r="AA16" s="1280"/>
      <c r="AB16" s="1280"/>
      <c r="AC16" s="1280"/>
      <c r="AD16" s="1280"/>
      <c r="AE16" s="1280"/>
      <c r="AF16" s="1280"/>
      <c r="AG16" s="1280"/>
    </row>
    <row r="17" spans="1:33" s="1281" customFormat="1" ht="24.75" customHeight="1">
      <c r="A17" s="1410"/>
      <c r="B17" s="1410"/>
      <c r="C17" s="1295" t="s">
        <v>705</v>
      </c>
      <c r="D17" s="2005" t="s">
        <v>206</v>
      </c>
      <c r="E17" s="2005"/>
      <c r="F17" s="2005"/>
      <c r="G17" s="2005"/>
      <c r="H17" s="2005"/>
      <c r="I17" s="2006"/>
      <c r="J17" s="1279"/>
      <c r="K17" s="1280"/>
      <c r="L17" s="1280"/>
      <c r="M17" s="1280"/>
      <c r="N17" s="1280"/>
      <c r="O17" s="1280"/>
      <c r="P17" s="1280"/>
      <c r="Q17" s="1280"/>
      <c r="R17" s="1280"/>
      <c r="S17" s="1280"/>
      <c r="T17" s="1280"/>
      <c r="U17" s="1280"/>
      <c r="V17" s="1280"/>
      <c r="W17" s="1280"/>
      <c r="X17" s="1280"/>
      <c r="Y17" s="1280"/>
      <c r="Z17" s="1280"/>
      <c r="AA17" s="1280"/>
      <c r="AB17" s="1280"/>
      <c r="AC17" s="1280"/>
      <c r="AD17" s="1280"/>
      <c r="AE17" s="1280"/>
      <c r="AF17" s="1280"/>
      <c r="AG17" s="1280"/>
    </row>
    <row r="18" spans="1:33" s="1281" customFormat="1" ht="24.75" customHeight="1">
      <c r="A18" s="1410"/>
      <c r="B18" s="1410"/>
      <c r="C18" s="1295" t="s">
        <v>705</v>
      </c>
      <c r="D18" s="2005" t="s">
        <v>313</v>
      </c>
      <c r="E18" s="2005"/>
      <c r="F18" s="2005"/>
      <c r="G18" s="2005"/>
      <c r="H18" s="2005"/>
      <c r="I18" s="2006"/>
      <c r="J18" s="1279"/>
      <c r="K18" s="1280"/>
      <c r="L18" s="1280"/>
      <c r="M18" s="1280"/>
      <c r="N18" s="1280"/>
      <c r="O18" s="1280"/>
      <c r="P18" s="1280"/>
      <c r="Q18" s="1280"/>
      <c r="R18" s="1280"/>
      <c r="S18" s="1280"/>
      <c r="T18" s="1280"/>
      <c r="U18" s="1280"/>
      <c r="V18" s="1280"/>
      <c r="W18" s="1280"/>
      <c r="X18" s="1280"/>
      <c r="Y18" s="1280"/>
      <c r="Z18" s="1280"/>
      <c r="AA18" s="1280"/>
      <c r="AB18" s="1280"/>
      <c r="AC18" s="1280"/>
      <c r="AD18" s="1280"/>
      <c r="AE18" s="1280"/>
      <c r="AF18" s="1280"/>
      <c r="AG18" s="1280"/>
    </row>
    <row r="19" spans="1:33" s="1281" customFormat="1" ht="24.75" customHeight="1">
      <c r="A19" s="1410"/>
      <c r="B19" s="1410"/>
      <c r="C19" s="1295" t="s">
        <v>705</v>
      </c>
      <c r="D19" s="2005" t="s">
        <v>314</v>
      </c>
      <c r="E19" s="2005"/>
      <c r="F19" s="2005"/>
      <c r="G19" s="2005"/>
      <c r="H19" s="2005"/>
      <c r="I19" s="2006"/>
      <c r="J19" s="1279"/>
      <c r="K19" s="1280"/>
      <c r="L19" s="1280"/>
      <c r="M19" s="1280"/>
      <c r="N19" s="1280"/>
      <c r="O19" s="1280"/>
      <c r="P19" s="1280"/>
      <c r="Q19" s="1280"/>
      <c r="R19" s="1280"/>
      <c r="S19" s="1280"/>
      <c r="T19" s="1280"/>
      <c r="U19" s="1280"/>
      <c r="V19" s="1280"/>
      <c r="W19" s="1280"/>
      <c r="X19" s="1280"/>
      <c r="Y19" s="1280"/>
      <c r="Z19" s="1280"/>
      <c r="AA19" s="1280"/>
      <c r="AB19" s="1280"/>
      <c r="AC19" s="1280"/>
      <c r="AD19" s="1280"/>
      <c r="AE19" s="1280"/>
      <c r="AF19" s="1280"/>
      <c r="AG19" s="1280"/>
    </row>
    <row r="20" spans="1:33" s="1281" customFormat="1" ht="64.5" customHeight="1">
      <c r="A20" s="1410"/>
      <c r="B20" s="1410"/>
      <c r="C20" s="1283">
        <v>5</v>
      </c>
      <c r="D20" s="1293" t="s">
        <v>207</v>
      </c>
      <c r="E20" s="1285" t="s">
        <v>183</v>
      </c>
      <c r="F20" s="1286">
        <v>105779</v>
      </c>
      <c r="G20" s="1286">
        <v>7555</v>
      </c>
      <c r="H20" s="1286"/>
      <c r="I20" s="1286"/>
      <c r="J20" s="1279"/>
      <c r="K20" s="1280"/>
      <c r="L20" s="1280"/>
      <c r="M20" s="1280"/>
      <c r="N20" s="1280"/>
      <c r="O20" s="1280"/>
      <c r="P20" s="1280"/>
      <c r="Q20" s="1280"/>
      <c r="R20" s="1280"/>
      <c r="S20" s="1280"/>
      <c r="T20" s="1280"/>
      <c r="U20" s="1280"/>
      <c r="V20" s="1280"/>
      <c r="W20" s="1280"/>
      <c r="X20" s="1280"/>
      <c r="Y20" s="1280"/>
      <c r="Z20" s="1280"/>
      <c r="AA20" s="1280"/>
      <c r="AB20" s="1280"/>
      <c r="AC20" s="1280"/>
      <c r="AD20" s="1280"/>
      <c r="AE20" s="1280"/>
      <c r="AF20" s="1280"/>
      <c r="AG20" s="1280"/>
    </row>
    <row r="21" spans="1:33" s="1281" customFormat="1" ht="30" customHeight="1">
      <c r="A21" s="1410"/>
      <c r="B21" s="1410"/>
      <c r="C21" s="1283">
        <v>6</v>
      </c>
      <c r="D21" s="1293" t="s">
        <v>208</v>
      </c>
      <c r="E21" s="1285" t="s">
        <v>209</v>
      </c>
      <c r="F21" s="1286">
        <v>166</v>
      </c>
      <c r="G21" s="1286">
        <v>100</v>
      </c>
      <c r="H21" s="1286"/>
      <c r="I21" s="1286"/>
      <c r="J21" s="1279"/>
      <c r="K21" s="1280"/>
      <c r="L21" s="1280"/>
      <c r="M21" s="1280"/>
      <c r="N21" s="1280"/>
      <c r="O21" s="1280"/>
      <c r="P21" s="1280"/>
      <c r="Q21" s="1280"/>
      <c r="R21" s="1280"/>
      <c r="S21" s="1280"/>
      <c r="T21" s="1280"/>
      <c r="U21" s="1280"/>
      <c r="V21" s="1280"/>
      <c r="W21" s="1280"/>
      <c r="X21" s="1280"/>
      <c r="Y21" s="1280"/>
      <c r="Z21" s="1280"/>
      <c r="AA21" s="1280"/>
      <c r="AB21" s="1280"/>
      <c r="AC21" s="1280"/>
      <c r="AD21" s="1280"/>
      <c r="AE21" s="1280"/>
      <c r="AF21" s="1280"/>
      <c r="AG21" s="1280"/>
    </row>
    <row r="22" spans="1:245" s="1268" customFormat="1" ht="39.75" customHeight="1">
      <c r="A22" s="1262">
        <v>3</v>
      </c>
      <c r="B22" s="1262">
        <v>750</v>
      </c>
      <c r="C22" s="1263"/>
      <c r="D22" s="1282" t="s">
        <v>690</v>
      </c>
      <c r="E22" s="1265"/>
      <c r="F22" s="1266">
        <f>F23+F27</f>
        <v>174535</v>
      </c>
      <c r="G22" s="1266">
        <f>G23+G27</f>
        <v>176203</v>
      </c>
      <c r="H22" s="1266">
        <f>H23+H27</f>
        <v>165665</v>
      </c>
      <c r="I22" s="1266">
        <f>I23+I27</f>
        <v>0</v>
      </c>
      <c r="J22" s="1296"/>
      <c r="K22" s="1297"/>
      <c r="L22" s="1297"/>
      <c r="M22" s="1297"/>
      <c r="N22" s="1297"/>
      <c r="O22" s="1297"/>
      <c r="P22" s="1297"/>
      <c r="Q22" s="1297"/>
      <c r="R22" s="1297"/>
      <c r="S22" s="1297"/>
      <c r="T22" s="1297"/>
      <c r="U22" s="1297"/>
      <c r="V22" s="1297"/>
      <c r="W22" s="1297"/>
      <c r="X22" s="1297"/>
      <c r="Y22" s="1297"/>
      <c r="Z22" s="1297"/>
      <c r="AA22" s="1297"/>
      <c r="AB22" s="1297"/>
      <c r="AC22" s="1297"/>
      <c r="AD22" s="1297"/>
      <c r="AE22" s="1297"/>
      <c r="AF22" s="1297"/>
      <c r="AG22" s="1297"/>
      <c r="AH22" s="1297"/>
      <c r="AI22" s="1297"/>
      <c r="AJ22" s="1297"/>
      <c r="AK22" s="1297"/>
      <c r="AL22" s="1297"/>
      <c r="AM22" s="1297"/>
      <c r="AN22" s="1297"/>
      <c r="AO22" s="1297"/>
      <c r="AP22" s="1297"/>
      <c r="AQ22" s="1297"/>
      <c r="AR22" s="1297"/>
      <c r="AS22" s="1297"/>
      <c r="AT22" s="1297"/>
      <c r="AU22" s="1297"/>
      <c r="AV22" s="1297"/>
      <c r="AW22" s="1297"/>
      <c r="AX22" s="1297"/>
      <c r="AY22" s="1297"/>
      <c r="AZ22" s="1297"/>
      <c r="BA22" s="1297"/>
      <c r="BB22" s="1297"/>
      <c r="BC22" s="1297"/>
      <c r="BD22" s="1297"/>
      <c r="BE22" s="1297"/>
      <c r="BF22" s="1297"/>
      <c r="BG22" s="1297"/>
      <c r="BH22" s="1297"/>
      <c r="BI22" s="1297"/>
      <c r="BJ22" s="1297"/>
      <c r="BK22" s="1297"/>
      <c r="BL22" s="1297"/>
      <c r="BM22" s="1297"/>
      <c r="BN22" s="1297"/>
      <c r="BO22" s="1297"/>
      <c r="BP22" s="1297"/>
      <c r="BQ22" s="1297"/>
      <c r="BR22" s="1297"/>
      <c r="BS22" s="1297"/>
      <c r="BT22" s="1297"/>
      <c r="BU22" s="1297"/>
      <c r="BV22" s="1297"/>
      <c r="BW22" s="1297"/>
      <c r="BX22" s="1297"/>
      <c r="BY22" s="1297"/>
      <c r="BZ22" s="1297"/>
      <c r="CA22" s="1297"/>
      <c r="CB22" s="1297"/>
      <c r="CC22" s="1297"/>
      <c r="CD22" s="1297"/>
      <c r="CE22" s="1297"/>
      <c r="CF22" s="1297"/>
      <c r="CG22" s="1297"/>
      <c r="CH22" s="1297"/>
      <c r="CI22" s="1297"/>
      <c r="CJ22" s="1297"/>
      <c r="CK22" s="1297"/>
      <c r="CL22" s="1297"/>
      <c r="CM22" s="1297"/>
      <c r="CN22" s="1297"/>
      <c r="CO22" s="1297"/>
      <c r="CP22" s="1297"/>
      <c r="CQ22" s="1297"/>
      <c r="CR22" s="1297"/>
      <c r="CS22" s="1297"/>
      <c r="CT22" s="1297"/>
      <c r="CU22" s="1297"/>
      <c r="CV22" s="1297"/>
      <c r="CW22" s="1297"/>
      <c r="CX22" s="1297"/>
      <c r="CY22" s="1297"/>
      <c r="CZ22" s="1297"/>
      <c r="DA22" s="1297"/>
      <c r="DB22" s="1297"/>
      <c r="DC22" s="1297"/>
      <c r="DD22" s="1297"/>
      <c r="DE22" s="1297"/>
      <c r="DF22" s="1297"/>
      <c r="DG22" s="1297"/>
      <c r="DH22" s="1297"/>
      <c r="DI22" s="1297"/>
      <c r="DJ22" s="1297"/>
      <c r="DK22" s="1297"/>
      <c r="DL22" s="1297"/>
      <c r="DM22" s="1297"/>
      <c r="DN22" s="1297"/>
      <c r="DO22" s="1297"/>
      <c r="DP22" s="1297"/>
      <c r="DQ22" s="1297"/>
      <c r="DR22" s="1297"/>
      <c r="DS22" s="1297"/>
      <c r="DT22" s="1297"/>
      <c r="DU22" s="1297"/>
      <c r="DV22" s="1297"/>
      <c r="DW22" s="1297"/>
      <c r="DX22" s="1297"/>
      <c r="DY22" s="1297"/>
      <c r="DZ22" s="1297"/>
      <c r="EA22" s="1297"/>
      <c r="EB22" s="1297"/>
      <c r="EC22" s="1297"/>
      <c r="ED22" s="1297"/>
      <c r="EE22" s="1297"/>
      <c r="EF22" s="1297"/>
      <c r="EG22" s="1297"/>
      <c r="EH22" s="1297"/>
      <c r="EI22" s="1297"/>
      <c r="EJ22" s="1297"/>
      <c r="EK22" s="1297"/>
      <c r="EL22" s="1297"/>
      <c r="EM22" s="1297"/>
      <c r="EN22" s="1297"/>
      <c r="EO22" s="1297"/>
      <c r="EP22" s="1297"/>
      <c r="EQ22" s="1297"/>
      <c r="ER22" s="1297"/>
      <c r="ES22" s="1297"/>
      <c r="ET22" s="1297"/>
      <c r="EU22" s="1297"/>
      <c r="EV22" s="1297"/>
      <c r="EW22" s="1297"/>
      <c r="EX22" s="1297"/>
      <c r="EY22" s="1297"/>
      <c r="EZ22" s="1297"/>
      <c r="FA22" s="1297"/>
      <c r="FB22" s="1297"/>
      <c r="FC22" s="1297"/>
      <c r="FD22" s="1297"/>
      <c r="FE22" s="1297"/>
      <c r="FF22" s="1297"/>
      <c r="FG22" s="1297"/>
      <c r="FH22" s="1297"/>
      <c r="FI22" s="1297"/>
      <c r="FJ22" s="1297"/>
      <c r="FK22" s="1297"/>
      <c r="FL22" s="1297"/>
      <c r="FM22" s="1297"/>
      <c r="FN22" s="1297"/>
      <c r="FO22" s="1297"/>
      <c r="FP22" s="1297"/>
      <c r="FQ22" s="1297"/>
      <c r="FR22" s="1297"/>
      <c r="FS22" s="1297"/>
      <c r="FT22" s="1297"/>
      <c r="FU22" s="1297"/>
      <c r="FV22" s="1297"/>
      <c r="FW22" s="1297"/>
      <c r="FX22" s="1297"/>
      <c r="FY22" s="1297"/>
      <c r="FZ22" s="1297"/>
      <c r="GA22" s="1297"/>
      <c r="GB22" s="1297"/>
      <c r="GC22" s="1297"/>
      <c r="GD22" s="1297"/>
      <c r="GE22" s="1297"/>
      <c r="GF22" s="1297"/>
      <c r="GG22" s="1297"/>
      <c r="GH22" s="1297"/>
      <c r="GI22" s="1297"/>
      <c r="GJ22" s="1297"/>
      <c r="GK22" s="1297"/>
      <c r="GL22" s="1297"/>
      <c r="GM22" s="1297"/>
      <c r="GN22" s="1297"/>
      <c r="GO22" s="1297"/>
      <c r="GP22" s="1297"/>
      <c r="GQ22" s="1297"/>
      <c r="GR22" s="1297"/>
      <c r="GS22" s="1297"/>
      <c r="GT22" s="1297"/>
      <c r="GU22" s="1297"/>
      <c r="GV22" s="1297"/>
      <c r="GW22" s="1297"/>
      <c r="GX22" s="1297"/>
      <c r="GY22" s="1297"/>
      <c r="GZ22" s="1297"/>
      <c r="HA22" s="1297"/>
      <c r="HB22" s="1297"/>
      <c r="HC22" s="1297"/>
      <c r="HD22" s="1297"/>
      <c r="HE22" s="1297"/>
      <c r="HF22" s="1297"/>
      <c r="HG22" s="1297"/>
      <c r="HH22" s="1297"/>
      <c r="HI22" s="1297"/>
      <c r="HJ22" s="1297"/>
      <c r="HK22" s="1297"/>
      <c r="HL22" s="1297"/>
      <c r="HM22" s="1297"/>
      <c r="HN22" s="1297"/>
      <c r="HO22" s="1297"/>
      <c r="HP22" s="1297"/>
      <c r="HQ22" s="1297"/>
      <c r="HR22" s="1297"/>
      <c r="HS22" s="1297"/>
      <c r="HT22" s="1297"/>
      <c r="HU22" s="1297"/>
      <c r="HV22" s="1297"/>
      <c r="HW22" s="1297"/>
      <c r="HX22" s="1297"/>
      <c r="HY22" s="1297"/>
      <c r="HZ22" s="1297"/>
      <c r="IA22" s="1297"/>
      <c r="IB22" s="1297"/>
      <c r="IC22" s="1297"/>
      <c r="ID22" s="1297"/>
      <c r="IE22" s="1297"/>
      <c r="IF22" s="1297"/>
      <c r="IG22" s="1297"/>
      <c r="IH22" s="1297"/>
      <c r="II22" s="1297"/>
      <c r="IJ22" s="1297"/>
      <c r="IK22" s="1297"/>
    </row>
    <row r="23" spans="1:10" s="1268" customFormat="1" ht="37.5" customHeight="1">
      <c r="A23" s="1269"/>
      <c r="B23" s="1298">
        <v>75011</v>
      </c>
      <c r="C23" s="1271"/>
      <c r="D23" s="1299" t="s">
        <v>692</v>
      </c>
      <c r="E23" s="1300"/>
      <c r="F23" s="1301">
        <f>F24+F26</f>
        <v>170535</v>
      </c>
      <c r="G23" s="1301">
        <f>SUM(G24:G26)</f>
        <v>172203</v>
      </c>
      <c r="H23" s="1301">
        <f>SUM(H24:H26)</f>
        <v>165665</v>
      </c>
      <c r="I23" s="1301">
        <f>SUM(I24:I25)</f>
        <v>0</v>
      </c>
      <c r="J23" s="1267"/>
    </row>
    <row r="24" spans="1:33" s="1281" customFormat="1" ht="63" customHeight="1">
      <c r="A24" s="1410"/>
      <c r="B24" s="1410"/>
      <c r="C24" s="1283">
        <v>1</v>
      </c>
      <c r="D24" s="1293" t="s">
        <v>210</v>
      </c>
      <c r="E24" s="1302">
        <v>2010</v>
      </c>
      <c r="F24" s="1286">
        <v>165535</v>
      </c>
      <c r="G24" s="1286">
        <v>165665</v>
      </c>
      <c r="H24" s="1286">
        <v>165665</v>
      </c>
      <c r="I24" s="1303"/>
      <c r="J24" s="1279"/>
      <c r="K24" s="1280"/>
      <c r="L24" s="1280"/>
      <c r="M24" s="1280"/>
      <c r="N24" s="1280"/>
      <c r="O24" s="1280"/>
      <c r="P24" s="1280"/>
      <c r="Q24" s="1280"/>
      <c r="R24" s="1280"/>
      <c r="S24" s="1280"/>
      <c r="T24" s="1280"/>
      <c r="U24" s="1280"/>
      <c r="V24" s="1280"/>
      <c r="W24" s="1280"/>
      <c r="X24" s="1280"/>
      <c r="Y24" s="1280"/>
      <c r="Z24" s="1280"/>
      <c r="AA24" s="1280"/>
      <c r="AB24" s="1280"/>
      <c r="AC24" s="1280"/>
      <c r="AD24" s="1280"/>
      <c r="AE24" s="1280"/>
      <c r="AF24" s="1280"/>
      <c r="AG24" s="1280"/>
    </row>
    <row r="25" spans="1:33" s="1281" customFormat="1" ht="34.5" customHeight="1">
      <c r="A25" s="1410"/>
      <c r="B25" s="1410"/>
      <c r="C25" s="1287"/>
      <c r="D25" s="2004" t="s">
        <v>211</v>
      </c>
      <c r="E25" s="2005"/>
      <c r="F25" s="2005"/>
      <c r="G25" s="2005"/>
      <c r="H25" s="2005"/>
      <c r="I25" s="2006"/>
      <c r="J25" s="1279"/>
      <c r="K25" s="1280"/>
      <c r="L25" s="1280"/>
      <c r="M25" s="1280"/>
      <c r="N25" s="1280"/>
      <c r="O25" s="1280"/>
      <c r="P25" s="1280"/>
      <c r="Q25" s="1280"/>
      <c r="R25" s="1280"/>
      <c r="S25" s="1280"/>
      <c r="T25" s="1280"/>
      <c r="U25" s="1280"/>
      <c r="V25" s="1280"/>
      <c r="W25" s="1280"/>
      <c r="X25" s="1280"/>
      <c r="Y25" s="1280"/>
      <c r="Z25" s="1280"/>
      <c r="AA25" s="1280"/>
      <c r="AB25" s="1280"/>
      <c r="AC25" s="1280"/>
      <c r="AD25" s="1280"/>
      <c r="AE25" s="1280"/>
      <c r="AF25" s="1280"/>
      <c r="AG25" s="1280"/>
    </row>
    <row r="26" spans="1:33" s="1281" customFormat="1" ht="78" customHeight="1">
      <c r="A26" s="1410"/>
      <c r="B26" s="1410"/>
      <c r="C26" s="1283">
        <v>2</v>
      </c>
      <c r="D26" s="1293" t="s">
        <v>212</v>
      </c>
      <c r="E26" s="1302">
        <v>2360</v>
      </c>
      <c r="F26" s="1286">
        <v>5000</v>
      </c>
      <c r="G26" s="1286">
        <v>6538</v>
      </c>
      <c r="H26" s="1286"/>
      <c r="I26" s="1303"/>
      <c r="J26" s="1279"/>
      <c r="K26" s="1280"/>
      <c r="L26" s="1280"/>
      <c r="M26" s="1280"/>
      <c r="N26" s="1280"/>
      <c r="O26" s="1280"/>
      <c r="P26" s="1280"/>
      <c r="Q26" s="1280"/>
      <c r="R26" s="1280"/>
      <c r="S26" s="1280"/>
      <c r="T26" s="1280"/>
      <c r="U26" s="1280"/>
      <c r="V26" s="1280"/>
      <c r="W26" s="1280"/>
      <c r="X26" s="1280"/>
      <c r="Y26" s="1280"/>
      <c r="Z26" s="1280"/>
      <c r="AA26" s="1280"/>
      <c r="AB26" s="1280"/>
      <c r="AC26" s="1280"/>
      <c r="AD26" s="1280"/>
      <c r="AE26" s="1280"/>
      <c r="AF26" s="1280"/>
      <c r="AG26" s="1280"/>
    </row>
    <row r="27" spans="1:10" s="1268" customFormat="1" ht="45" customHeight="1">
      <c r="A27" s="1304"/>
      <c r="B27" s="1298">
        <v>75023</v>
      </c>
      <c r="C27" s="1271"/>
      <c r="D27" s="1299" t="s">
        <v>115</v>
      </c>
      <c r="E27" s="1300"/>
      <c r="F27" s="1301">
        <f>SUM(F28:F29)</f>
        <v>4000</v>
      </c>
      <c r="G27" s="1301">
        <f>SUM(G28:G29)</f>
        <v>4000</v>
      </c>
      <c r="H27" s="1301">
        <f>SUM(H28:H29)</f>
        <v>0</v>
      </c>
      <c r="I27" s="1301">
        <f>SUM(I28:I29)</f>
        <v>0</v>
      </c>
      <c r="J27" s="1267"/>
    </row>
    <row r="28" spans="1:33" s="1281" customFormat="1" ht="45" customHeight="1">
      <c r="A28" s="1410"/>
      <c r="B28" s="1410"/>
      <c r="C28" s="1305">
        <v>1</v>
      </c>
      <c r="D28" s="1306" t="s">
        <v>213</v>
      </c>
      <c r="E28" s="1307" t="s">
        <v>182</v>
      </c>
      <c r="F28" s="1308">
        <v>2000</v>
      </c>
      <c r="G28" s="1308">
        <v>2000</v>
      </c>
      <c r="H28" s="1308"/>
      <c r="I28" s="1309"/>
      <c r="J28" s="1279"/>
      <c r="K28" s="1280"/>
      <c r="L28" s="1280"/>
      <c r="M28" s="1280"/>
      <c r="N28" s="1280"/>
      <c r="O28" s="1280"/>
      <c r="P28" s="1280"/>
      <c r="Q28" s="1280"/>
      <c r="R28" s="1280"/>
      <c r="S28" s="1280"/>
      <c r="T28" s="1280"/>
      <c r="U28" s="1280"/>
      <c r="V28" s="1280"/>
      <c r="W28" s="1280"/>
      <c r="X28" s="1280"/>
      <c r="Y28" s="1280"/>
      <c r="Z28" s="1280"/>
      <c r="AA28" s="1280"/>
      <c r="AB28" s="1280"/>
      <c r="AC28" s="1280"/>
      <c r="AD28" s="1280"/>
      <c r="AE28" s="1280"/>
      <c r="AF28" s="1280"/>
      <c r="AG28" s="1280"/>
    </row>
    <row r="29" spans="1:33" s="1281" customFormat="1" ht="45" customHeight="1">
      <c r="A29" s="1410"/>
      <c r="B29" s="1410"/>
      <c r="C29" s="1305">
        <v>2</v>
      </c>
      <c r="D29" s="1306" t="s">
        <v>214</v>
      </c>
      <c r="E29" s="1307" t="s">
        <v>182</v>
      </c>
      <c r="F29" s="1308">
        <v>2000</v>
      </c>
      <c r="G29" s="1308">
        <v>2000</v>
      </c>
      <c r="H29" s="1308"/>
      <c r="I29" s="1309"/>
      <c r="J29" s="1279"/>
      <c r="K29" s="1280"/>
      <c r="L29" s="1280"/>
      <c r="M29" s="1280"/>
      <c r="N29" s="1280"/>
      <c r="O29" s="1280"/>
      <c r="P29" s="1280"/>
      <c r="Q29" s="1280"/>
      <c r="R29" s="1280"/>
      <c r="S29" s="1280"/>
      <c r="T29" s="1280"/>
      <c r="U29" s="1280"/>
      <c r="V29" s="1280"/>
      <c r="W29" s="1280"/>
      <c r="X29" s="1280"/>
      <c r="Y29" s="1280"/>
      <c r="Z29" s="1280"/>
      <c r="AA29" s="1280"/>
      <c r="AB29" s="1280"/>
      <c r="AC29" s="1280"/>
      <c r="AD29" s="1280"/>
      <c r="AE29" s="1280"/>
      <c r="AF29" s="1280"/>
      <c r="AG29" s="1280"/>
    </row>
    <row r="30" spans="1:33" s="1310" customFormat="1" ht="84" customHeight="1">
      <c r="A30" s="1262">
        <v>4</v>
      </c>
      <c r="B30" s="1262">
        <v>751</v>
      </c>
      <c r="C30" s="1263"/>
      <c r="D30" s="1282" t="s">
        <v>215</v>
      </c>
      <c r="E30" s="1265"/>
      <c r="F30" s="1266">
        <f>F31</f>
        <v>2800</v>
      </c>
      <c r="G30" s="1266">
        <f>G31</f>
        <v>2800</v>
      </c>
      <c r="H30" s="1266">
        <f>H31</f>
        <v>2800</v>
      </c>
      <c r="I30" s="1266"/>
      <c r="J30" s="1267"/>
      <c r="K30" s="1268"/>
      <c r="L30" s="1268"/>
      <c r="M30" s="1268"/>
      <c r="N30" s="1268"/>
      <c r="O30" s="1268"/>
      <c r="P30" s="1268"/>
      <c r="Q30" s="1268"/>
      <c r="R30" s="1268"/>
      <c r="S30" s="1268"/>
      <c r="T30" s="1268"/>
      <c r="U30" s="1268"/>
      <c r="V30" s="1268"/>
      <c r="W30" s="1268"/>
      <c r="X30" s="1268"/>
      <c r="Y30" s="1268"/>
      <c r="Z30" s="1268"/>
      <c r="AA30" s="1268"/>
      <c r="AB30" s="1268"/>
      <c r="AC30" s="1268"/>
      <c r="AD30" s="1268"/>
      <c r="AE30" s="1268"/>
      <c r="AF30" s="1268"/>
      <c r="AG30" s="1268"/>
    </row>
    <row r="31" spans="1:33" s="1310" customFormat="1" ht="45" customHeight="1">
      <c r="A31" s="1269"/>
      <c r="B31" s="1298">
        <v>75101</v>
      </c>
      <c r="C31" s="1271"/>
      <c r="D31" s="1299" t="s">
        <v>216</v>
      </c>
      <c r="E31" s="1300"/>
      <c r="F31" s="1301">
        <f>F32</f>
        <v>2800</v>
      </c>
      <c r="G31" s="1301">
        <f>G32</f>
        <v>2800</v>
      </c>
      <c r="H31" s="1301">
        <f>G31</f>
        <v>2800</v>
      </c>
      <c r="I31" s="1301"/>
      <c r="J31" s="1267"/>
      <c r="K31" s="1268"/>
      <c r="L31" s="1268"/>
      <c r="M31" s="1268"/>
      <c r="N31" s="1268"/>
      <c r="O31" s="1268"/>
      <c r="P31" s="1268"/>
      <c r="Q31" s="1268"/>
      <c r="R31" s="1268"/>
      <c r="S31" s="1268"/>
      <c r="T31" s="1268"/>
      <c r="U31" s="1268"/>
      <c r="V31" s="1268"/>
      <c r="W31" s="1268"/>
      <c r="X31" s="1268"/>
      <c r="Y31" s="1268"/>
      <c r="Z31" s="1268"/>
      <c r="AA31" s="1268"/>
      <c r="AB31" s="1268"/>
      <c r="AC31" s="1268"/>
      <c r="AD31" s="1268"/>
      <c r="AE31" s="1268"/>
      <c r="AF31" s="1268"/>
      <c r="AG31" s="1268"/>
    </row>
    <row r="32" spans="1:33" s="1281" customFormat="1" ht="48" customHeight="1">
      <c r="A32" s="1411"/>
      <c r="B32" s="1411"/>
      <c r="C32" s="1283">
        <v>1</v>
      </c>
      <c r="D32" s="1293" t="s">
        <v>217</v>
      </c>
      <c r="E32" s="1302">
        <v>2010</v>
      </c>
      <c r="F32" s="1286">
        <v>2800</v>
      </c>
      <c r="G32" s="1286">
        <v>2800</v>
      </c>
      <c r="H32" s="1286">
        <v>2800</v>
      </c>
      <c r="I32" s="1286"/>
      <c r="J32" s="1279"/>
      <c r="K32" s="1280"/>
      <c r="L32" s="1280"/>
      <c r="M32" s="1280"/>
      <c r="N32" s="1280"/>
      <c r="O32" s="1280"/>
      <c r="P32" s="1280"/>
      <c r="Q32" s="1280"/>
      <c r="R32" s="1280"/>
      <c r="S32" s="1280"/>
      <c r="T32" s="1280"/>
      <c r="U32" s="1280"/>
      <c r="V32" s="1280"/>
      <c r="W32" s="1280"/>
      <c r="X32" s="1280"/>
      <c r="Y32" s="1280"/>
      <c r="Z32" s="1280"/>
      <c r="AA32" s="1280"/>
      <c r="AB32" s="1280"/>
      <c r="AC32" s="1280"/>
      <c r="AD32" s="1280"/>
      <c r="AE32" s="1280"/>
      <c r="AF32" s="1280"/>
      <c r="AG32" s="1280"/>
    </row>
    <row r="33" spans="1:33" s="1281" customFormat="1" ht="40.5" customHeight="1">
      <c r="A33" s="1411"/>
      <c r="B33" s="1411"/>
      <c r="C33" s="1287"/>
      <c r="D33" s="2016" t="s">
        <v>317</v>
      </c>
      <c r="E33" s="2017"/>
      <c r="F33" s="2017"/>
      <c r="G33" s="2017"/>
      <c r="H33" s="2017"/>
      <c r="I33" s="2018"/>
      <c r="J33" s="1279"/>
      <c r="K33" s="1280"/>
      <c r="L33" s="1280"/>
      <c r="M33" s="1280"/>
      <c r="N33" s="1280"/>
      <c r="O33" s="1280"/>
      <c r="P33" s="1280"/>
      <c r="Q33" s="1280"/>
      <c r="R33" s="1280"/>
      <c r="S33" s="1280"/>
      <c r="T33" s="1280"/>
      <c r="U33" s="1280"/>
      <c r="V33" s="1280"/>
      <c r="W33" s="1280"/>
      <c r="X33" s="1280"/>
      <c r="Y33" s="1280"/>
      <c r="Z33" s="1280"/>
      <c r="AA33" s="1280"/>
      <c r="AB33" s="1280"/>
      <c r="AC33" s="1280"/>
      <c r="AD33" s="1280"/>
      <c r="AE33" s="1280"/>
      <c r="AF33" s="1280"/>
      <c r="AG33" s="1280"/>
    </row>
    <row r="34" spans="1:33" s="1310" customFormat="1" ht="43.5" customHeight="1">
      <c r="A34" s="1262">
        <v>5</v>
      </c>
      <c r="B34" s="1262">
        <v>754</v>
      </c>
      <c r="C34" s="1263"/>
      <c r="D34" s="1282" t="s">
        <v>739</v>
      </c>
      <c r="E34" s="1265"/>
      <c r="F34" s="1311">
        <f aca="true" t="shared" si="1" ref="F34:H35">F35</f>
        <v>200</v>
      </c>
      <c r="G34" s="1311">
        <f t="shared" si="1"/>
        <v>200</v>
      </c>
      <c r="H34" s="1311">
        <f t="shared" si="1"/>
        <v>200</v>
      </c>
      <c r="I34" s="1311"/>
      <c r="J34" s="1267"/>
      <c r="K34" s="1268"/>
      <c r="L34" s="1268"/>
      <c r="M34" s="1268"/>
      <c r="N34" s="1268"/>
      <c r="O34" s="1268"/>
      <c r="P34" s="1268"/>
      <c r="Q34" s="1268"/>
      <c r="R34" s="1268"/>
      <c r="S34" s="1268"/>
      <c r="T34" s="1268"/>
      <c r="U34" s="1268"/>
      <c r="V34" s="1268"/>
      <c r="W34" s="1268"/>
      <c r="X34" s="1268"/>
      <c r="Y34" s="1268"/>
      <c r="Z34" s="1268"/>
      <c r="AA34" s="1268"/>
      <c r="AB34" s="1268"/>
      <c r="AC34" s="1268"/>
      <c r="AD34" s="1268"/>
      <c r="AE34" s="1268"/>
      <c r="AF34" s="1268"/>
      <c r="AG34" s="1268"/>
    </row>
    <row r="35" spans="1:33" s="1310" customFormat="1" ht="40.5" customHeight="1">
      <c r="A35" s="1269"/>
      <c r="B35" s="1298">
        <v>75414</v>
      </c>
      <c r="C35" s="1271"/>
      <c r="D35" s="1299" t="s">
        <v>901</v>
      </c>
      <c r="E35" s="1300"/>
      <c r="F35" s="1301">
        <f t="shared" si="1"/>
        <v>200</v>
      </c>
      <c r="G35" s="1301">
        <f t="shared" si="1"/>
        <v>200</v>
      </c>
      <c r="H35" s="1301">
        <f t="shared" si="1"/>
        <v>200</v>
      </c>
      <c r="I35" s="1301"/>
      <c r="J35" s="1267"/>
      <c r="K35" s="1268"/>
      <c r="L35" s="1268"/>
      <c r="M35" s="1268"/>
      <c r="N35" s="1268"/>
      <c r="O35" s="1268"/>
      <c r="P35" s="1268"/>
      <c r="Q35" s="1268"/>
      <c r="R35" s="1268"/>
      <c r="S35" s="1268"/>
      <c r="T35" s="1268"/>
      <c r="U35" s="1268"/>
      <c r="V35" s="1268"/>
      <c r="W35" s="1268"/>
      <c r="X35" s="1268"/>
      <c r="Y35" s="1268"/>
      <c r="Z35" s="1268"/>
      <c r="AA35" s="1268"/>
      <c r="AB35" s="1268"/>
      <c r="AC35" s="1268"/>
      <c r="AD35" s="1268"/>
      <c r="AE35" s="1268"/>
      <c r="AF35" s="1268"/>
      <c r="AG35" s="1268"/>
    </row>
    <row r="36" spans="1:33" s="1281" customFormat="1" ht="62.25" customHeight="1">
      <c r="A36" s="1411"/>
      <c r="B36" s="1411"/>
      <c r="C36" s="1283">
        <v>1</v>
      </c>
      <c r="D36" s="1293" t="s">
        <v>218</v>
      </c>
      <c r="E36" s="1302">
        <v>2010</v>
      </c>
      <c r="F36" s="1286">
        <v>200</v>
      </c>
      <c r="G36" s="1286">
        <v>200</v>
      </c>
      <c r="H36" s="1286">
        <v>200</v>
      </c>
      <c r="I36" s="1286"/>
      <c r="J36" s="1279"/>
      <c r="K36" s="1280"/>
      <c r="L36" s="1280"/>
      <c r="M36" s="1280"/>
      <c r="N36" s="1280"/>
      <c r="O36" s="1280"/>
      <c r="P36" s="1280"/>
      <c r="Q36" s="1280"/>
      <c r="R36" s="1280"/>
      <c r="S36" s="1280"/>
      <c r="T36" s="1280"/>
      <c r="U36" s="1280"/>
      <c r="V36" s="1280"/>
      <c r="W36" s="1280"/>
      <c r="X36" s="1280"/>
      <c r="Y36" s="1280"/>
      <c r="Z36" s="1280"/>
      <c r="AA36" s="1280"/>
      <c r="AB36" s="1280"/>
      <c r="AC36" s="1280"/>
      <c r="AD36" s="1280"/>
      <c r="AE36" s="1280"/>
      <c r="AF36" s="1280"/>
      <c r="AG36" s="1280"/>
    </row>
    <row r="37" spans="1:33" s="1281" customFormat="1" ht="34.5" customHeight="1">
      <c r="A37" s="1411"/>
      <c r="B37" s="1411"/>
      <c r="C37" s="1287"/>
      <c r="D37" s="2004" t="s">
        <v>211</v>
      </c>
      <c r="E37" s="2005"/>
      <c r="F37" s="2005"/>
      <c r="G37" s="2005"/>
      <c r="H37" s="2005"/>
      <c r="I37" s="2006"/>
      <c r="J37" s="1279"/>
      <c r="K37" s="1280"/>
      <c r="L37" s="1280"/>
      <c r="M37" s="1280"/>
      <c r="N37" s="1280"/>
      <c r="O37" s="1280"/>
      <c r="P37" s="1280"/>
      <c r="Q37" s="1280"/>
      <c r="R37" s="1280"/>
      <c r="S37" s="1280"/>
      <c r="T37" s="1280"/>
      <c r="U37" s="1280"/>
      <c r="V37" s="1280"/>
      <c r="W37" s="1280"/>
      <c r="X37" s="1280"/>
      <c r="Y37" s="1280"/>
      <c r="Z37" s="1280"/>
      <c r="AA37" s="1280"/>
      <c r="AB37" s="1280"/>
      <c r="AC37" s="1280"/>
      <c r="AD37" s="1280"/>
      <c r="AE37" s="1280"/>
      <c r="AF37" s="1280"/>
      <c r="AG37" s="1280"/>
    </row>
    <row r="38" spans="1:33" s="1310" customFormat="1" ht="108" customHeight="1">
      <c r="A38" s="1262">
        <v>6</v>
      </c>
      <c r="B38" s="1262">
        <v>756</v>
      </c>
      <c r="C38" s="1263"/>
      <c r="D38" s="1264" t="s">
        <v>219</v>
      </c>
      <c r="E38" s="1265"/>
      <c r="F38" s="1311">
        <f>F39+F41+F48+F59+F63</f>
        <v>15997220</v>
      </c>
      <c r="G38" s="1311">
        <f>G39+G41+G48+G59+G63</f>
        <v>18967658</v>
      </c>
      <c r="H38" s="1311">
        <f>H39+H41+H48+H59+H63</f>
        <v>0</v>
      </c>
      <c r="I38" s="1311">
        <f>I39+I41+I48+I59+I63</f>
        <v>0</v>
      </c>
      <c r="J38" s="1267"/>
      <c r="K38" s="1268"/>
      <c r="L38" s="1268"/>
      <c r="M38" s="1268"/>
      <c r="N38" s="1268"/>
      <c r="O38" s="1268"/>
      <c r="P38" s="1268"/>
      <c r="Q38" s="1268"/>
      <c r="R38" s="1268"/>
      <c r="S38" s="1268"/>
      <c r="T38" s="1268"/>
      <c r="U38" s="1268"/>
      <c r="V38" s="1268"/>
      <c r="W38" s="1268"/>
      <c r="X38" s="1268"/>
      <c r="Y38" s="1268"/>
      <c r="Z38" s="1268"/>
      <c r="AA38" s="1268"/>
      <c r="AB38" s="1268"/>
      <c r="AC38" s="1268"/>
      <c r="AD38" s="1268"/>
      <c r="AE38" s="1268"/>
      <c r="AF38" s="1268"/>
      <c r="AG38" s="1268"/>
    </row>
    <row r="39" spans="1:33" s="1310" customFormat="1" ht="54" customHeight="1">
      <c r="A39" s="1269"/>
      <c r="B39" s="1312">
        <v>75601</v>
      </c>
      <c r="C39" s="1271"/>
      <c r="D39" s="1299" t="s">
        <v>220</v>
      </c>
      <c r="E39" s="1300"/>
      <c r="F39" s="1301">
        <f>F40</f>
        <v>30000</v>
      </c>
      <c r="G39" s="1301">
        <f>G40</f>
        <v>35000</v>
      </c>
      <c r="H39" s="1301">
        <f>H40</f>
        <v>0</v>
      </c>
      <c r="I39" s="1301">
        <f>I40</f>
        <v>0</v>
      </c>
      <c r="J39" s="1267"/>
      <c r="K39" s="1268"/>
      <c r="L39" s="1268"/>
      <c r="M39" s="1268"/>
      <c r="N39" s="1268"/>
      <c r="O39" s="1268"/>
      <c r="P39" s="1268"/>
      <c r="Q39" s="1268"/>
      <c r="R39" s="1268"/>
      <c r="S39" s="1268"/>
      <c r="T39" s="1268"/>
      <c r="U39" s="1268"/>
      <c r="V39" s="1268"/>
      <c r="W39" s="1268"/>
      <c r="X39" s="1268"/>
      <c r="Y39" s="1268"/>
      <c r="Z39" s="1268"/>
      <c r="AA39" s="1268"/>
      <c r="AB39" s="1268"/>
      <c r="AC39" s="1268"/>
      <c r="AD39" s="1268"/>
      <c r="AE39" s="1268"/>
      <c r="AF39" s="1268"/>
      <c r="AG39" s="1268"/>
    </row>
    <row r="40" spans="1:33" s="1281" customFormat="1" ht="41.25" customHeight="1">
      <c r="A40" s="1410"/>
      <c r="B40" s="1410"/>
      <c r="C40" s="1283">
        <v>1</v>
      </c>
      <c r="D40" s="1293" t="s">
        <v>221</v>
      </c>
      <c r="E40" s="1285" t="s">
        <v>222</v>
      </c>
      <c r="F40" s="1286">
        <v>30000</v>
      </c>
      <c r="G40" s="1286">
        <f>30000+5000</f>
        <v>35000</v>
      </c>
      <c r="H40" s="1303"/>
      <c r="I40" s="1303"/>
      <c r="J40" s="1279"/>
      <c r="K40" s="1280"/>
      <c r="L40" s="1280"/>
      <c r="M40" s="1280"/>
      <c r="N40" s="1280"/>
      <c r="O40" s="1280"/>
      <c r="P40" s="1280"/>
      <c r="Q40" s="1280"/>
      <c r="R40" s="1280"/>
      <c r="S40" s="1280"/>
      <c r="T40" s="1280"/>
      <c r="U40" s="1280"/>
      <c r="V40" s="1280"/>
      <c r="W40" s="1280"/>
      <c r="X40" s="1280"/>
      <c r="Y40" s="1280"/>
      <c r="Z40" s="1280"/>
      <c r="AA40" s="1280"/>
      <c r="AB40" s="1280"/>
      <c r="AC40" s="1280"/>
      <c r="AD40" s="1280"/>
      <c r="AE40" s="1280"/>
      <c r="AF40" s="1280"/>
      <c r="AG40" s="1280"/>
    </row>
    <row r="41" spans="1:33" s="1310" customFormat="1" ht="99" customHeight="1">
      <c r="A41" s="1304"/>
      <c r="B41" s="1312" t="s">
        <v>223</v>
      </c>
      <c r="C41" s="1271"/>
      <c r="D41" s="1313" t="s">
        <v>224</v>
      </c>
      <c r="E41" s="1300"/>
      <c r="F41" s="1301">
        <f>F42+F43+F44+F45+F46+F47</f>
        <v>3071670</v>
      </c>
      <c r="G41" s="1301">
        <f>G42+G43+G44+G45+G46+G47</f>
        <v>3205270</v>
      </c>
      <c r="H41" s="1301"/>
      <c r="I41" s="1301"/>
      <c r="J41" s="1267"/>
      <c r="K41" s="1268"/>
      <c r="L41" s="1268"/>
      <c r="M41" s="1268"/>
      <c r="N41" s="1268"/>
      <c r="O41" s="1268"/>
      <c r="P41" s="1268"/>
      <c r="Q41" s="1268"/>
      <c r="R41" s="1268"/>
      <c r="S41" s="1268"/>
      <c r="T41" s="1268"/>
      <c r="U41" s="1268"/>
      <c r="V41" s="1268"/>
      <c r="W41" s="1268"/>
      <c r="X41" s="1268"/>
      <c r="Y41" s="1268"/>
      <c r="Z41" s="1268"/>
      <c r="AA41" s="1268"/>
      <c r="AB41" s="1268"/>
      <c r="AC41" s="1268"/>
      <c r="AD41" s="1268"/>
      <c r="AE41" s="1268"/>
      <c r="AF41" s="1268"/>
      <c r="AG41" s="1268"/>
    </row>
    <row r="42" spans="1:33" s="1281" customFormat="1" ht="33" customHeight="1">
      <c r="A42" s="1412"/>
      <c r="B42" s="1412"/>
      <c r="C42" s="1314">
        <v>1</v>
      </c>
      <c r="D42" s="1315" t="s">
        <v>225</v>
      </c>
      <c r="E42" s="1285" t="s">
        <v>226</v>
      </c>
      <c r="F42" s="1316">
        <v>3000000</v>
      </c>
      <c r="G42" s="1316">
        <f>3100000+20000+5000</f>
        <v>3125000</v>
      </c>
      <c r="H42" s="1317"/>
      <c r="I42" s="1317"/>
      <c r="J42" s="1279"/>
      <c r="K42" s="1280"/>
      <c r="L42" s="1280"/>
      <c r="M42" s="1280"/>
      <c r="N42" s="1280"/>
      <c r="O42" s="1280"/>
      <c r="P42" s="1280"/>
      <c r="Q42" s="1280"/>
      <c r="R42" s="1280"/>
      <c r="S42" s="1280"/>
      <c r="T42" s="1280"/>
      <c r="U42" s="1280"/>
      <c r="V42" s="1280"/>
      <c r="W42" s="1280"/>
      <c r="X42" s="1280"/>
      <c r="Y42" s="1280"/>
      <c r="Z42" s="1280"/>
      <c r="AA42" s="1280"/>
      <c r="AB42" s="1280"/>
      <c r="AC42" s="1280"/>
      <c r="AD42" s="1280"/>
      <c r="AE42" s="1280"/>
      <c r="AF42" s="1280"/>
      <c r="AG42" s="1280"/>
    </row>
    <row r="43" spans="1:33" s="1281" customFormat="1" ht="33" customHeight="1">
      <c r="A43" s="1412"/>
      <c r="B43" s="1412"/>
      <c r="C43" s="1283">
        <v>2</v>
      </c>
      <c r="D43" s="1315" t="s">
        <v>227</v>
      </c>
      <c r="E43" s="1285" t="s">
        <v>228</v>
      </c>
      <c r="F43" s="1316">
        <v>1500</v>
      </c>
      <c r="G43" s="1316">
        <v>2000</v>
      </c>
      <c r="H43" s="1317"/>
      <c r="I43" s="1317"/>
      <c r="J43" s="1279"/>
      <c r="K43" s="1280"/>
      <c r="L43" s="1280"/>
      <c r="M43" s="1280"/>
      <c r="N43" s="1280"/>
      <c r="O43" s="1280"/>
      <c r="P43" s="1280"/>
      <c r="Q43" s="1280"/>
      <c r="R43" s="1280"/>
      <c r="S43" s="1280"/>
      <c r="T43" s="1280"/>
      <c r="U43" s="1280"/>
      <c r="V43" s="1280"/>
      <c r="W43" s="1280"/>
      <c r="X43" s="1280"/>
      <c r="Y43" s="1280"/>
      <c r="Z43" s="1280"/>
      <c r="AA43" s="1280"/>
      <c r="AB43" s="1280"/>
      <c r="AC43" s="1280"/>
      <c r="AD43" s="1280"/>
      <c r="AE43" s="1280"/>
      <c r="AF43" s="1280"/>
      <c r="AG43" s="1280"/>
    </row>
    <row r="44" spans="1:33" s="1281" customFormat="1" ht="33" customHeight="1">
      <c r="A44" s="1412"/>
      <c r="B44" s="1412"/>
      <c r="C44" s="1283">
        <v>3</v>
      </c>
      <c r="D44" s="1315" t="s">
        <v>229</v>
      </c>
      <c r="E44" s="1285" t="s">
        <v>230</v>
      </c>
      <c r="F44" s="1316">
        <v>2270</v>
      </c>
      <c r="G44" s="1316">
        <v>2270</v>
      </c>
      <c r="H44" s="1317"/>
      <c r="I44" s="1317"/>
      <c r="J44" s="1279"/>
      <c r="K44" s="1280"/>
      <c r="L44" s="1280"/>
      <c r="M44" s="1280"/>
      <c r="N44" s="1280"/>
      <c r="O44" s="1280"/>
      <c r="P44" s="1280"/>
      <c r="Q44" s="1280"/>
      <c r="R44" s="1280"/>
      <c r="S44" s="1280"/>
      <c r="T44" s="1280"/>
      <c r="U44" s="1280"/>
      <c r="V44" s="1280"/>
      <c r="W44" s="1280"/>
      <c r="X44" s="1280"/>
      <c r="Y44" s="1280"/>
      <c r="Z44" s="1280"/>
      <c r="AA44" s="1280"/>
      <c r="AB44" s="1280"/>
      <c r="AC44" s="1280"/>
      <c r="AD44" s="1280"/>
      <c r="AE44" s="1280"/>
      <c r="AF44" s="1280"/>
      <c r="AG44" s="1280"/>
    </row>
    <row r="45" spans="1:33" s="1281" customFormat="1" ht="33" customHeight="1">
      <c r="A45" s="1412"/>
      <c r="B45" s="1412"/>
      <c r="C45" s="1283">
        <v>4</v>
      </c>
      <c r="D45" s="1315" t="s">
        <v>231</v>
      </c>
      <c r="E45" s="1285" t="s">
        <v>232</v>
      </c>
      <c r="F45" s="1316">
        <v>43000</v>
      </c>
      <c r="G45" s="1316">
        <v>44000</v>
      </c>
      <c r="H45" s="1317"/>
      <c r="I45" s="1317"/>
      <c r="J45" s="1279"/>
      <c r="K45" s="1280"/>
      <c r="L45" s="1280"/>
      <c r="M45" s="1280"/>
      <c r="N45" s="1280"/>
      <c r="O45" s="1280"/>
      <c r="P45" s="1280"/>
      <c r="Q45" s="1280"/>
      <c r="R45" s="1280"/>
      <c r="S45" s="1280"/>
      <c r="T45" s="1280"/>
      <c r="U45" s="1280"/>
      <c r="V45" s="1280"/>
      <c r="W45" s="1280"/>
      <c r="X45" s="1280"/>
      <c r="Y45" s="1280"/>
      <c r="Z45" s="1280"/>
      <c r="AA45" s="1280"/>
      <c r="AB45" s="1280"/>
      <c r="AC45" s="1280"/>
      <c r="AD45" s="1280"/>
      <c r="AE45" s="1280"/>
      <c r="AF45" s="1280"/>
      <c r="AG45" s="1280"/>
    </row>
    <row r="46" spans="1:33" s="1281" customFormat="1" ht="33.75" customHeight="1">
      <c r="A46" s="1412"/>
      <c r="B46" s="1412"/>
      <c r="C46" s="1305">
        <v>5</v>
      </c>
      <c r="D46" s="1319" t="s">
        <v>233</v>
      </c>
      <c r="E46" s="1307" t="s">
        <v>234</v>
      </c>
      <c r="F46" s="1504">
        <v>23000</v>
      </c>
      <c r="G46" s="1504">
        <f>25000+5000</f>
        <v>30000</v>
      </c>
      <c r="H46" s="1505"/>
      <c r="I46" s="1505"/>
      <c r="J46" s="1279"/>
      <c r="K46" s="1280"/>
      <c r="L46" s="1280"/>
      <c r="M46" s="1280"/>
      <c r="N46" s="1280"/>
      <c r="O46" s="1280"/>
      <c r="P46" s="1280"/>
      <c r="Q46" s="1280"/>
      <c r="R46" s="1280"/>
      <c r="S46" s="1280"/>
      <c r="T46" s="1280"/>
      <c r="U46" s="1280"/>
      <c r="V46" s="1280"/>
      <c r="W46" s="1280"/>
      <c r="X46" s="1280"/>
      <c r="Y46" s="1280"/>
      <c r="Z46" s="1280"/>
      <c r="AA46" s="1280"/>
      <c r="AB46" s="1280"/>
      <c r="AC46" s="1280"/>
      <c r="AD46" s="1280"/>
      <c r="AE46" s="1280"/>
      <c r="AF46" s="1280"/>
      <c r="AG46" s="1280"/>
    </row>
    <row r="47" spans="1:33" s="1281" customFormat="1" ht="33.75" customHeight="1">
      <c r="A47" s="1412"/>
      <c r="B47" s="1412"/>
      <c r="C47" s="1287">
        <v>6</v>
      </c>
      <c r="D47" s="1321" t="s">
        <v>254</v>
      </c>
      <c r="E47" s="1325" t="s">
        <v>255</v>
      </c>
      <c r="F47" s="1502">
        <v>1900</v>
      </c>
      <c r="G47" s="1502">
        <v>2000</v>
      </c>
      <c r="H47" s="1503"/>
      <c r="I47" s="1503"/>
      <c r="J47" s="1279"/>
      <c r="K47" s="1280"/>
      <c r="L47" s="1280"/>
      <c r="M47" s="1280"/>
      <c r="N47" s="1280"/>
      <c r="O47" s="1280"/>
      <c r="P47" s="1280"/>
      <c r="Q47" s="1280"/>
      <c r="R47" s="1280"/>
      <c r="S47" s="1280"/>
      <c r="T47" s="1280"/>
      <c r="U47" s="1280"/>
      <c r="V47" s="1280"/>
      <c r="W47" s="1280"/>
      <c r="X47" s="1280"/>
      <c r="Y47" s="1280"/>
      <c r="Z47" s="1280"/>
      <c r="AA47" s="1280"/>
      <c r="AB47" s="1280"/>
      <c r="AC47" s="1280"/>
      <c r="AD47" s="1280"/>
      <c r="AE47" s="1280"/>
      <c r="AF47" s="1280"/>
      <c r="AG47" s="1280"/>
    </row>
    <row r="48" spans="1:33" s="1310" customFormat="1" ht="99" customHeight="1">
      <c r="A48" s="1304"/>
      <c r="B48" s="1312">
        <v>75616</v>
      </c>
      <c r="C48" s="1271"/>
      <c r="D48" s="1313" t="s">
        <v>235</v>
      </c>
      <c r="E48" s="1300"/>
      <c r="F48" s="1301">
        <f>F49+F50+F51+F52+F53+F54+F55+F56+F57+F58</f>
        <v>1802000</v>
      </c>
      <c r="G48" s="1301">
        <f>G49+G50+G51+G52+G53+G54+G55+G56+G57+G58</f>
        <v>1901000</v>
      </c>
      <c r="H48" s="1301"/>
      <c r="I48" s="1301"/>
      <c r="J48" s="1267"/>
      <c r="K48" s="1268"/>
      <c r="L48" s="1268"/>
      <c r="M48" s="1268"/>
      <c r="N48" s="1268"/>
      <c r="O48" s="1268"/>
      <c r="P48" s="1268"/>
      <c r="Q48" s="1268"/>
      <c r="R48" s="1268"/>
      <c r="S48" s="1268"/>
      <c r="T48" s="1268"/>
      <c r="U48" s="1268"/>
      <c r="V48" s="1268"/>
      <c r="W48" s="1268"/>
      <c r="X48" s="1268"/>
      <c r="Y48" s="1268"/>
      <c r="Z48" s="1268"/>
      <c r="AA48" s="1268"/>
      <c r="AB48" s="1268"/>
      <c r="AC48" s="1268"/>
      <c r="AD48" s="1268"/>
      <c r="AE48" s="1268"/>
      <c r="AF48" s="1268"/>
      <c r="AG48" s="1268"/>
    </row>
    <row r="49" spans="1:33" s="1281" customFormat="1" ht="33" customHeight="1">
      <c r="A49" s="1412"/>
      <c r="B49" s="1412"/>
      <c r="C49" s="1314">
        <v>1</v>
      </c>
      <c r="D49" s="1315" t="s">
        <v>225</v>
      </c>
      <c r="E49" s="1285" t="s">
        <v>226</v>
      </c>
      <c r="F49" s="1316">
        <v>525000</v>
      </c>
      <c r="G49" s="1316">
        <v>540000</v>
      </c>
      <c r="H49" s="1317"/>
      <c r="I49" s="1317"/>
      <c r="J49" s="1279"/>
      <c r="K49" s="1280"/>
      <c r="L49" s="1280"/>
      <c r="M49" s="1280"/>
      <c r="N49" s="1280"/>
      <c r="O49" s="1280"/>
      <c r="P49" s="1280"/>
      <c r="Q49" s="1280"/>
      <c r="R49" s="1280"/>
      <c r="S49" s="1280"/>
      <c r="T49" s="1280"/>
      <c r="U49" s="1280"/>
      <c r="V49" s="1280"/>
      <c r="W49" s="1280"/>
      <c r="X49" s="1280"/>
      <c r="Y49" s="1280"/>
      <c r="Z49" s="1280"/>
      <c r="AA49" s="1280"/>
      <c r="AB49" s="1280"/>
      <c r="AC49" s="1280"/>
      <c r="AD49" s="1280"/>
      <c r="AE49" s="1280"/>
      <c r="AF49" s="1280"/>
      <c r="AG49" s="1280"/>
    </row>
    <row r="50" spans="1:33" s="1281" customFormat="1" ht="33" customHeight="1">
      <c r="A50" s="1412"/>
      <c r="B50" s="1412"/>
      <c r="C50" s="1283">
        <v>2</v>
      </c>
      <c r="D50" s="1315" t="s">
        <v>227</v>
      </c>
      <c r="E50" s="1285" t="s">
        <v>228</v>
      </c>
      <c r="F50" s="1316">
        <v>350000</v>
      </c>
      <c r="G50" s="1316">
        <v>430000</v>
      </c>
      <c r="H50" s="1317"/>
      <c r="I50" s="1317"/>
      <c r="J50" s="1279"/>
      <c r="K50" s="1280"/>
      <c r="L50" s="1280"/>
      <c r="M50" s="1280"/>
      <c r="N50" s="1280"/>
      <c r="O50" s="1280"/>
      <c r="P50" s="1280"/>
      <c r="Q50" s="1280"/>
      <c r="R50" s="1280"/>
      <c r="S50" s="1280"/>
      <c r="T50" s="1280"/>
      <c r="U50" s="1280"/>
      <c r="V50" s="1280"/>
      <c r="W50" s="1280"/>
      <c r="X50" s="1280"/>
      <c r="Y50" s="1280"/>
      <c r="Z50" s="1280"/>
      <c r="AA50" s="1280"/>
      <c r="AB50" s="1280"/>
      <c r="AC50" s="1280"/>
      <c r="AD50" s="1280"/>
      <c r="AE50" s="1280"/>
      <c r="AF50" s="1280"/>
      <c r="AG50" s="1280"/>
    </row>
    <row r="51" spans="1:33" s="1281" customFormat="1" ht="33" customHeight="1">
      <c r="A51" s="1412"/>
      <c r="B51" s="1412"/>
      <c r="C51" s="1283">
        <v>3</v>
      </c>
      <c r="D51" s="1315" t="s">
        <v>229</v>
      </c>
      <c r="E51" s="1285" t="s">
        <v>230</v>
      </c>
      <c r="F51" s="1316">
        <v>3500</v>
      </c>
      <c r="G51" s="1316">
        <v>4000</v>
      </c>
      <c r="H51" s="1317"/>
      <c r="I51" s="1317"/>
      <c r="J51" s="1279"/>
      <c r="K51" s="1280"/>
      <c r="L51" s="1280"/>
      <c r="M51" s="1280"/>
      <c r="N51" s="1280"/>
      <c r="O51" s="1280"/>
      <c r="P51" s="1280"/>
      <c r="Q51" s="1280"/>
      <c r="R51" s="1280"/>
      <c r="S51" s="1280"/>
      <c r="T51" s="1280"/>
      <c r="U51" s="1280"/>
      <c r="V51" s="1280"/>
      <c r="W51" s="1280"/>
      <c r="X51" s="1280"/>
      <c r="Y51" s="1280"/>
      <c r="Z51" s="1280"/>
      <c r="AA51" s="1280"/>
      <c r="AB51" s="1280"/>
      <c r="AC51" s="1280"/>
      <c r="AD51" s="1280"/>
      <c r="AE51" s="1280"/>
      <c r="AF51" s="1280"/>
      <c r="AG51" s="1280"/>
    </row>
    <row r="52" spans="1:33" s="1281" customFormat="1" ht="33" customHeight="1">
      <c r="A52" s="1412"/>
      <c r="B52" s="1412"/>
      <c r="C52" s="1283">
        <v>4</v>
      </c>
      <c r="D52" s="1315" t="s">
        <v>231</v>
      </c>
      <c r="E52" s="1285" t="s">
        <v>232</v>
      </c>
      <c r="F52" s="1316">
        <v>225000</v>
      </c>
      <c r="G52" s="1316">
        <f>230000+5000</f>
        <v>235000</v>
      </c>
      <c r="H52" s="1317"/>
      <c r="I52" s="1317"/>
      <c r="J52" s="1279"/>
      <c r="K52" s="1280"/>
      <c r="L52" s="1280"/>
      <c r="M52" s="1280"/>
      <c r="N52" s="1280"/>
      <c r="O52" s="1280"/>
      <c r="P52" s="1280"/>
      <c r="Q52" s="1280"/>
      <c r="R52" s="1280"/>
      <c r="S52" s="1280"/>
      <c r="T52" s="1280"/>
      <c r="U52" s="1280"/>
      <c r="V52" s="1280"/>
      <c r="W52" s="1280"/>
      <c r="X52" s="1280"/>
      <c r="Y52" s="1280"/>
      <c r="Z52" s="1280"/>
      <c r="AA52" s="1280"/>
      <c r="AB52" s="1280"/>
      <c r="AC52" s="1280"/>
      <c r="AD52" s="1280"/>
      <c r="AE52" s="1280"/>
      <c r="AF52" s="1280"/>
      <c r="AG52" s="1280"/>
    </row>
    <row r="53" spans="1:33" s="1281" customFormat="1" ht="33" customHeight="1">
      <c r="A53" s="1412"/>
      <c r="B53" s="1412"/>
      <c r="C53" s="1283">
        <v>5</v>
      </c>
      <c r="D53" s="1315" t="s">
        <v>236</v>
      </c>
      <c r="E53" s="1285" t="s">
        <v>237</v>
      </c>
      <c r="F53" s="1316">
        <v>14000</v>
      </c>
      <c r="G53" s="1316">
        <f>14000+1000</f>
        <v>15000</v>
      </c>
      <c r="H53" s="1317"/>
      <c r="I53" s="1317"/>
      <c r="J53" s="1279"/>
      <c r="K53" s="1280"/>
      <c r="L53" s="1280"/>
      <c r="M53" s="1280"/>
      <c r="N53" s="1280"/>
      <c r="O53" s="1280"/>
      <c r="P53" s="1280"/>
      <c r="Q53" s="1280"/>
      <c r="R53" s="1280"/>
      <c r="S53" s="1280"/>
      <c r="T53" s="1280"/>
      <c r="U53" s="1280"/>
      <c r="V53" s="1280"/>
      <c r="W53" s="1280"/>
      <c r="X53" s="1280"/>
      <c r="Y53" s="1280"/>
      <c r="Z53" s="1280"/>
      <c r="AA53" s="1280"/>
      <c r="AB53" s="1280"/>
      <c r="AC53" s="1280"/>
      <c r="AD53" s="1280"/>
      <c r="AE53" s="1280"/>
      <c r="AF53" s="1280"/>
      <c r="AG53" s="1280"/>
    </row>
    <row r="54" spans="1:33" s="1281" customFormat="1" ht="33.75" customHeight="1">
      <c r="A54" s="1412"/>
      <c r="B54" s="1412"/>
      <c r="C54" s="1292">
        <v>6</v>
      </c>
      <c r="D54" s="1315" t="s">
        <v>238</v>
      </c>
      <c r="E54" s="1413" t="s">
        <v>239</v>
      </c>
      <c r="F54" s="1414">
        <v>16500</v>
      </c>
      <c r="G54" s="1316">
        <v>17000</v>
      </c>
      <c r="H54" s="1415"/>
      <c r="I54" s="1416"/>
      <c r="J54" s="1279"/>
      <c r="K54" s="1280"/>
      <c r="L54" s="1280"/>
      <c r="M54" s="1280"/>
      <c r="N54" s="1280"/>
      <c r="O54" s="1280"/>
      <c r="P54" s="1280"/>
      <c r="Q54" s="1280"/>
      <c r="R54" s="1280"/>
      <c r="S54" s="1280"/>
      <c r="T54" s="1280"/>
      <c r="U54" s="1280"/>
      <c r="V54" s="1280"/>
      <c r="W54" s="1280"/>
      <c r="X54" s="1280"/>
      <c r="Y54" s="1280"/>
      <c r="Z54" s="1280"/>
      <c r="AA54" s="1280"/>
      <c r="AB54" s="1280"/>
      <c r="AC54" s="1280"/>
      <c r="AD54" s="1280"/>
      <c r="AE54" s="1280"/>
      <c r="AF54" s="1280"/>
      <c r="AG54" s="1280"/>
    </row>
    <row r="55" spans="1:33" s="1281" customFormat="1" ht="30.75" customHeight="1">
      <c r="A55" s="1412"/>
      <c r="B55" s="1412"/>
      <c r="C55" s="1292">
        <v>7</v>
      </c>
      <c r="D55" s="1315" t="s">
        <v>240</v>
      </c>
      <c r="E55" s="1413" t="s">
        <v>241</v>
      </c>
      <c r="F55" s="1414">
        <v>265000</v>
      </c>
      <c r="G55" s="1316">
        <f>260000+5000</f>
        <v>265000</v>
      </c>
      <c r="H55" s="1415"/>
      <c r="I55" s="1415"/>
      <c r="J55" s="1279"/>
      <c r="K55" s="1280"/>
      <c r="L55" s="1280"/>
      <c r="M55" s="1280"/>
      <c r="N55" s="1280"/>
      <c r="O55" s="1280"/>
      <c r="P55" s="1280"/>
      <c r="Q55" s="1280"/>
      <c r="R55" s="1280"/>
      <c r="S55" s="1280"/>
      <c r="T55" s="1280"/>
      <c r="U55" s="1280"/>
      <c r="V55" s="1280"/>
      <c r="W55" s="1280"/>
      <c r="X55" s="1280"/>
      <c r="Y55" s="1280"/>
      <c r="Z55" s="1280"/>
      <c r="AA55" s="1280"/>
      <c r="AB55" s="1280"/>
      <c r="AC55" s="1280"/>
      <c r="AD55" s="1280"/>
      <c r="AE55" s="1280"/>
      <c r="AF55" s="1280"/>
      <c r="AG55" s="1280"/>
    </row>
    <row r="56" spans="1:33" s="1281" customFormat="1" ht="40.5" customHeight="1">
      <c r="A56" s="1412"/>
      <c r="B56" s="1412"/>
      <c r="C56" s="1305">
        <v>8</v>
      </c>
      <c r="D56" s="1929" t="s">
        <v>242</v>
      </c>
      <c r="E56" s="1930" t="s">
        <v>243</v>
      </c>
      <c r="F56" s="1931">
        <v>6000</v>
      </c>
      <c r="G56" s="1504">
        <f>6000+1000</f>
        <v>7000</v>
      </c>
      <c r="H56" s="1932"/>
      <c r="I56" s="1932"/>
      <c r="J56" s="1279"/>
      <c r="K56" s="1280"/>
      <c r="L56" s="1280"/>
      <c r="M56" s="1280"/>
      <c r="N56" s="1280"/>
      <c r="O56" s="1280"/>
      <c r="P56" s="1280"/>
      <c r="Q56" s="1280"/>
      <c r="R56" s="1280"/>
      <c r="S56" s="1280"/>
      <c r="T56" s="1280"/>
      <c r="U56" s="1280"/>
      <c r="V56" s="1280"/>
      <c r="W56" s="1280"/>
      <c r="X56" s="1280"/>
      <c r="Y56" s="1280"/>
      <c r="Z56" s="1280"/>
      <c r="AA56" s="1280"/>
      <c r="AB56" s="1280"/>
      <c r="AC56" s="1280"/>
      <c r="AD56" s="1280"/>
      <c r="AE56" s="1280"/>
      <c r="AF56" s="1280"/>
      <c r="AG56" s="1280"/>
    </row>
    <row r="57" spans="1:33" s="1281" customFormat="1" ht="29.25" customHeight="1">
      <c r="A57" s="1412"/>
      <c r="B57" s="1412"/>
      <c r="C57" s="1283">
        <v>9</v>
      </c>
      <c r="D57" s="1319" t="s">
        <v>233</v>
      </c>
      <c r="E57" s="1285" t="s">
        <v>234</v>
      </c>
      <c r="F57" s="1316">
        <v>370000</v>
      </c>
      <c r="G57" s="1316">
        <v>360000</v>
      </c>
      <c r="H57" s="1317"/>
      <c r="I57" s="1317"/>
      <c r="J57" s="1279"/>
      <c r="K57" s="1280"/>
      <c r="L57" s="1280"/>
      <c r="M57" s="1280"/>
      <c r="N57" s="1280"/>
      <c r="O57" s="1280"/>
      <c r="P57" s="1280"/>
      <c r="Q57" s="1280"/>
      <c r="R57" s="1280"/>
      <c r="S57" s="1280"/>
      <c r="T57" s="1280"/>
      <c r="U57" s="1280"/>
      <c r="V57" s="1280"/>
      <c r="W57" s="1280"/>
      <c r="X57" s="1280"/>
      <c r="Y57" s="1280"/>
      <c r="Z57" s="1280"/>
      <c r="AA57" s="1280"/>
      <c r="AB57" s="1280"/>
      <c r="AC57" s="1280"/>
      <c r="AD57" s="1280"/>
      <c r="AE57" s="1280"/>
      <c r="AF57" s="1280"/>
      <c r="AG57" s="1280"/>
    </row>
    <row r="58" spans="1:33" s="1281" customFormat="1" ht="41.25" customHeight="1">
      <c r="A58" s="1412"/>
      <c r="B58" s="1412"/>
      <c r="C58" s="1283">
        <v>10</v>
      </c>
      <c r="D58" s="1321" t="s">
        <v>254</v>
      </c>
      <c r="E58" s="1285" t="s">
        <v>255</v>
      </c>
      <c r="F58" s="1316">
        <v>27000</v>
      </c>
      <c r="G58" s="1316">
        <f>27000+1000</f>
        <v>28000</v>
      </c>
      <c r="H58" s="1317"/>
      <c r="I58" s="1317"/>
      <c r="J58" s="1279"/>
      <c r="K58" s="1280"/>
      <c r="L58" s="1280"/>
      <c r="M58" s="1280"/>
      <c r="N58" s="1280"/>
      <c r="O58" s="1280"/>
      <c r="P58" s="1280"/>
      <c r="Q58" s="1280"/>
      <c r="R58" s="1280"/>
      <c r="S58" s="1280"/>
      <c r="T58" s="1280"/>
      <c r="U58" s="1280"/>
      <c r="V58" s="1280"/>
      <c r="W58" s="1280"/>
      <c r="X58" s="1280"/>
      <c r="Y58" s="1280"/>
      <c r="Z58" s="1280"/>
      <c r="AA58" s="1280"/>
      <c r="AB58" s="1280"/>
      <c r="AC58" s="1280"/>
      <c r="AD58" s="1280"/>
      <c r="AE58" s="1280"/>
      <c r="AF58" s="1280"/>
      <c r="AG58" s="1280"/>
    </row>
    <row r="59" spans="1:33" s="1310" customFormat="1" ht="50.25" customHeight="1">
      <c r="A59" s="1304"/>
      <c r="B59" s="1298">
        <v>75618</v>
      </c>
      <c r="C59" s="1271"/>
      <c r="D59" s="1313" t="s">
        <v>256</v>
      </c>
      <c r="E59" s="1300"/>
      <c r="F59" s="1301">
        <f>F60+F61+F62</f>
        <v>670950</v>
      </c>
      <c r="G59" s="1301">
        <f>G60+G61+G62</f>
        <v>637831</v>
      </c>
      <c r="H59" s="1301"/>
      <c r="I59" s="1301"/>
      <c r="J59" s="1267"/>
      <c r="K59" s="1268"/>
      <c r="L59" s="1268"/>
      <c r="M59" s="1268"/>
      <c r="N59" s="1268"/>
      <c r="O59" s="1268"/>
      <c r="P59" s="1268"/>
      <c r="Q59" s="1268"/>
      <c r="R59" s="1268"/>
      <c r="S59" s="1268"/>
      <c r="T59" s="1268"/>
      <c r="U59" s="1268"/>
      <c r="V59" s="1268"/>
      <c r="W59" s="1268"/>
      <c r="X59" s="1268"/>
      <c r="Y59" s="1268"/>
      <c r="Z59" s="1268"/>
      <c r="AA59" s="1268"/>
      <c r="AB59" s="1268"/>
      <c r="AC59" s="1268"/>
      <c r="AD59" s="1268"/>
      <c r="AE59" s="1268"/>
      <c r="AF59" s="1268"/>
      <c r="AG59" s="1268"/>
    </row>
    <row r="60" spans="1:33" s="1281" customFormat="1" ht="40.5" customHeight="1">
      <c r="A60" s="1410"/>
      <c r="B60" s="1410"/>
      <c r="C60" s="1283">
        <v>1</v>
      </c>
      <c r="D60" s="1293" t="s">
        <v>257</v>
      </c>
      <c r="E60" s="1285" t="s">
        <v>258</v>
      </c>
      <c r="F60" s="1286">
        <v>400000</v>
      </c>
      <c r="G60" s="1322">
        <f>350000+50000-32169</f>
        <v>367831</v>
      </c>
      <c r="H60" s="1303"/>
      <c r="I60" s="1303"/>
      <c r="J60" s="1279"/>
      <c r="K60" s="1280"/>
      <c r="L60" s="1280"/>
      <c r="M60" s="1280"/>
      <c r="N60" s="1280"/>
      <c r="O60" s="1280"/>
      <c r="P60" s="1280"/>
      <c r="Q60" s="1280"/>
      <c r="R60" s="1280"/>
      <c r="S60" s="1280"/>
      <c r="T60" s="1280"/>
      <c r="U60" s="1280"/>
      <c r="V60" s="1280"/>
      <c r="W60" s="1280"/>
      <c r="X60" s="1280"/>
      <c r="Y60" s="1280"/>
      <c r="Z60" s="1280"/>
      <c r="AA60" s="1280"/>
      <c r="AB60" s="1280"/>
      <c r="AC60" s="1280"/>
      <c r="AD60" s="1280"/>
      <c r="AE60" s="1280"/>
      <c r="AF60" s="1280"/>
      <c r="AG60" s="1280"/>
    </row>
    <row r="61" spans="1:33" s="1281" customFormat="1" ht="48.75" customHeight="1">
      <c r="A61" s="1410"/>
      <c r="B61" s="1410"/>
      <c r="C61" s="1292">
        <v>2</v>
      </c>
      <c r="D61" s="1323" t="s">
        <v>259</v>
      </c>
      <c r="E61" s="1285" t="s">
        <v>260</v>
      </c>
      <c r="F61" s="1286">
        <v>248000</v>
      </c>
      <c r="G61" s="1286">
        <v>250000</v>
      </c>
      <c r="H61" s="1303"/>
      <c r="I61" s="1303"/>
      <c r="J61" s="1279"/>
      <c r="K61" s="1280"/>
      <c r="L61" s="1280"/>
      <c r="M61" s="1280"/>
      <c r="N61" s="1280"/>
      <c r="O61" s="1280"/>
      <c r="P61" s="1280"/>
      <c r="Q61" s="1280"/>
      <c r="R61" s="1280"/>
      <c r="S61" s="1280"/>
      <c r="T61" s="1280"/>
      <c r="U61" s="1280"/>
      <c r="V61" s="1280"/>
      <c r="W61" s="1280"/>
      <c r="X61" s="1280"/>
      <c r="Y61" s="1280"/>
      <c r="Z61" s="1280"/>
      <c r="AA61" s="1280"/>
      <c r="AB61" s="1280"/>
      <c r="AC61" s="1280"/>
      <c r="AD61" s="1280"/>
      <c r="AE61" s="1280"/>
      <c r="AF61" s="1280"/>
      <c r="AG61" s="1280"/>
    </row>
    <row r="62" spans="1:33" s="1281" customFormat="1" ht="48.75" customHeight="1">
      <c r="A62" s="1410"/>
      <c r="B62" s="1410"/>
      <c r="C62" s="1292">
        <v>3</v>
      </c>
      <c r="D62" s="1323" t="s">
        <v>261</v>
      </c>
      <c r="E62" s="1285" t="s">
        <v>180</v>
      </c>
      <c r="F62" s="1286">
        <v>22950</v>
      </c>
      <c r="G62" s="1286">
        <v>20000</v>
      </c>
      <c r="H62" s="1303"/>
      <c r="I62" s="1303"/>
      <c r="J62" s="1279"/>
      <c r="K62" s="1280"/>
      <c r="L62" s="1280"/>
      <c r="M62" s="1280"/>
      <c r="N62" s="1280"/>
      <c r="O62" s="1280"/>
      <c r="P62" s="1280"/>
      <c r="Q62" s="1280"/>
      <c r="R62" s="1280"/>
      <c r="S62" s="1280"/>
      <c r="T62" s="1280"/>
      <c r="U62" s="1280"/>
      <c r="V62" s="1280"/>
      <c r="W62" s="1280"/>
      <c r="X62" s="1280"/>
      <c r="Y62" s="1280"/>
      <c r="Z62" s="1280"/>
      <c r="AA62" s="1280"/>
      <c r="AB62" s="1280"/>
      <c r="AC62" s="1280"/>
      <c r="AD62" s="1280"/>
      <c r="AE62" s="1280"/>
      <c r="AF62" s="1280"/>
      <c r="AG62" s="1280"/>
    </row>
    <row r="63" spans="1:33" s="1310" customFormat="1" ht="48" customHeight="1">
      <c r="A63" s="1304"/>
      <c r="B63" s="1298">
        <v>75621</v>
      </c>
      <c r="C63" s="1271"/>
      <c r="D63" s="1299" t="s">
        <v>262</v>
      </c>
      <c r="E63" s="1300"/>
      <c r="F63" s="1301">
        <f>F64+F66</f>
        <v>10422600</v>
      </c>
      <c r="G63" s="1301">
        <f>G64+G66</f>
        <v>13188557</v>
      </c>
      <c r="H63" s="1301"/>
      <c r="I63" s="1301"/>
      <c r="J63" s="1267"/>
      <c r="K63" s="1268"/>
      <c r="L63" s="1268"/>
      <c r="M63" s="1268"/>
      <c r="N63" s="1268"/>
      <c r="O63" s="1268"/>
      <c r="P63" s="1268"/>
      <c r="Q63" s="1268"/>
      <c r="R63" s="1268"/>
      <c r="S63" s="1268"/>
      <c r="T63" s="1268"/>
      <c r="U63" s="1268"/>
      <c r="V63" s="1268"/>
      <c r="W63" s="1268"/>
      <c r="X63" s="1268"/>
      <c r="Y63" s="1268"/>
      <c r="Z63" s="1268"/>
      <c r="AA63" s="1268"/>
      <c r="AB63" s="1268"/>
      <c r="AC63" s="1268"/>
      <c r="AD63" s="1268"/>
      <c r="AE63" s="1268"/>
      <c r="AF63" s="1268"/>
      <c r="AG63" s="1268"/>
    </row>
    <row r="64" spans="1:33" s="1281" customFormat="1" ht="34.5" customHeight="1">
      <c r="A64" s="1410"/>
      <c r="B64" s="1410"/>
      <c r="C64" s="1314">
        <v>1</v>
      </c>
      <c r="D64" s="1293" t="s">
        <v>263</v>
      </c>
      <c r="E64" s="1285" t="s">
        <v>264</v>
      </c>
      <c r="F64" s="1286">
        <v>10239600</v>
      </c>
      <c r="G64" s="1286">
        <v>12988557</v>
      </c>
      <c r="H64" s="1303"/>
      <c r="I64" s="1303"/>
      <c r="J64" s="1279"/>
      <c r="K64" s="1280"/>
      <c r="L64" s="1280"/>
      <c r="M64" s="1280"/>
      <c r="N64" s="1280"/>
      <c r="O64" s="1280"/>
      <c r="P64" s="1280"/>
      <c r="Q64" s="1280"/>
      <c r="R64" s="1280"/>
      <c r="S64" s="1280"/>
      <c r="T64" s="1280"/>
      <c r="U64" s="1280"/>
      <c r="V64" s="1280"/>
      <c r="W64" s="1280"/>
      <c r="X64" s="1280"/>
      <c r="Y64" s="1280"/>
      <c r="Z64" s="1280"/>
      <c r="AA64" s="1280"/>
      <c r="AB64" s="1280"/>
      <c r="AC64" s="1280"/>
      <c r="AD64" s="1280"/>
      <c r="AE64" s="1280"/>
      <c r="AF64" s="1280"/>
      <c r="AG64" s="1280"/>
    </row>
    <row r="65" spans="1:33" s="1281" customFormat="1" ht="34.5" customHeight="1">
      <c r="A65" s="1410"/>
      <c r="B65" s="1410"/>
      <c r="C65" s="1318"/>
      <c r="D65" s="2007" t="s">
        <v>311</v>
      </c>
      <c r="E65" s="2008"/>
      <c r="F65" s="2008"/>
      <c r="G65" s="2008"/>
      <c r="H65" s="2008"/>
      <c r="I65" s="2009"/>
      <c r="J65" s="1279"/>
      <c r="K65" s="1280"/>
      <c r="L65" s="1280"/>
      <c r="M65" s="1280"/>
      <c r="N65" s="1280"/>
      <c r="O65" s="1280"/>
      <c r="P65" s="1280"/>
      <c r="Q65" s="1280"/>
      <c r="R65" s="1280"/>
      <c r="S65" s="1280"/>
      <c r="T65" s="1280"/>
      <c r="U65" s="1280"/>
      <c r="V65" s="1280"/>
      <c r="W65" s="1280"/>
      <c r="X65" s="1280"/>
      <c r="Y65" s="1280"/>
      <c r="Z65" s="1280"/>
      <c r="AA65" s="1280"/>
      <c r="AB65" s="1280"/>
      <c r="AC65" s="1280"/>
      <c r="AD65" s="1280"/>
      <c r="AE65" s="1280"/>
      <c r="AF65" s="1280"/>
      <c r="AG65" s="1280"/>
    </row>
    <row r="66" spans="1:33" s="1281" customFormat="1" ht="34.5" customHeight="1">
      <c r="A66" s="1410"/>
      <c r="B66" s="1410"/>
      <c r="C66" s="1283">
        <v>2</v>
      </c>
      <c r="D66" s="1293" t="s">
        <v>265</v>
      </c>
      <c r="E66" s="1285" t="s">
        <v>266</v>
      </c>
      <c r="F66" s="1286">
        <v>183000</v>
      </c>
      <c r="G66" s="1286">
        <v>200000</v>
      </c>
      <c r="H66" s="1303"/>
      <c r="I66" s="1303"/>
      <c r="J66" s="1279"/>
      <c r="K66" s="1280"/>
      <c r="L66" s="1280"/>
      <c r="M66" s="1280"/>
      <c r="N66" s="1280"/>
      <c r="O66" s="1280"/>
      <c r="P66" s="1280"/>
      <c r="Q66" s="1280"/>
      <c r="R66" s="1280"/>
      <c r="S66" s="1280"/>
      <c r="T66" s="1280"/>
      <c r="U66" s="1280"/>
      <c r="V66" s="1280"/>
      <c r="W66" s="1280"/>
      <c r="X66" s="1280"/>
      <c r="Y66" s="1280"/>
      <c r="Z66" s="1280"/>
      <c r="AA66" s="1280"/>
      <c r="AB66" s="1280"/>
      <c r="AC66" s="1280"/>
      <c r="AD66" s="1280"/>
      <c r="AE66" s="1280"/>
      <c r="AF66" s="1280"/>
      <c r="AG66" s="1280"/>
    </row>
    <row r="67" spans="1:33" s="1310" customFormat="1" ht="48" customHeight="1">
      <c r="A67" s="1262">
        <v>7</v>
      </c>
      <c r="B67" s="1262">
        <v>758</v>
      </c>
      <c r="C67" s="1263"/>
      <c r="D67" s="1282" t="s">
        <v>916</v>
      </c>
      <c r="E67" s="1265"/>
      <c r="F67" s="1266">
        <f>F68+F71+F74+F76</f>
        <v>16993755</v>
      </c>
      <c r="G67" s="1266">
        <f>G68+G71+G74+G76</f>
        <v>17629462</v>
      </c>
      <c r="H67" s="1266">
        <f>H68+H71+H74+H76</f>
        <v>0</v>
      </c>
      <c r="I67" s="1266">
        <f>I68+I71+I74+I76</f>
        <v>0</v>
      </c>
      <c r="J67" s="1267"/>
      <c r="K67" s="1268"/>
      <c r="L67" s="1268"/>
      <c r="M67" s="1268"/>
      <c r="N67" s="1268"/>
      <c r="O67" s="1268"/>
      <c r="P67" s="1268"/>
      <c r="Q67" s="1268"/>
      <c r="R67" s="1268"/>
      <c r="S67" s="1268"/>
      <c r="T67" s="1268"/>
      <c r="U67" s="1268"/>
      <c r="V67" s="1268"/>
      <c r="W67" s="1268"/>
      <c r="X67" s="1268"/>
      <c r="Y67" s="1268"/>
      <c r="Z67" s="1268"/>
      <c r="AA67" s="1268"/>
      <c r="AB67" s="1268"/>
      <c r="AC67" s="1268"/>
      <c r="AD67" s="1268"/>
      <c r="AE67" s="1268"/>
      <c r="AF67" s="1268"/>
      <c r="AG67" s="1268"/>
    </row>
    <row r="68" spans="1:33" s="1310" customFormat="1" ht="44.25" customHeight="1">
      <c r="A68" s="1269"/>
      <c r="B68" s="1298">
        <v>75801</v>
      </c>
      <c r="C68" s="1271"/>
      <c r="D68" s="1299" t="s">
        <v>267</v>
      </c>
      <c r="E68" s="1300"/>
      <c r="F68" s="1301">
        <f>F69</f>
        <v>13238013</v>
      </c>
      <c r="G68" s="1301">
        <f>G69</f>
        <v>13295189</v>
      </c>
      <c r="H68" s="1301">
        <f>H69</f>
        <v>0</v>
      </c>
      <c r="I68" s="1301">
        <f>I69</f>
        <v>0</v>
      </c>
      <c r="J68" s="1267"/>
      <c r="K68" s="1268"/>
      <c r="L68" s="1268"/>
      <c r="M68" s="1268"/>
      <c r="N68" s="1268"/>
      <c r="O68" s="1268"/>
      <c r="P68" s="1268"/>
      <c r="Q68" s="1268"/>
      <c r="R68" s="1268"/>
      <c r="S68" s="1268"/>
      <c r="T68" s="1268"/>
      <c r="U68" s="1268"/>
      <c r="V68" s="1268"/>
      <c r="W68" s="1268"/>
      <c r="X68" s="1268"/>
      <c r="Y68" s="1268"/>
      <c r="Z68" s="1268"/>
      <c r="AA68" s="1268"/>
      <c r="AB68" s="1268"/>
      <c r="AC68" s="1268"/>
      <c r="AD68" s="1268"/>
      <c r="AE68" s="1268"/>
      <c r="AF68" s="1268"/>
      <c r="AG68" s="1268"/>
    </row>
    <row r="69" spans="1:33" s="1281" customFormat="1" ht="38.25" customHeight="1">
      <c r="A69" s="1411"/>
      <c r="B69" s="1411"/>
      <c r="C69" s="1283">
        <v>1</v>
      </c>
      <c r="D69" s="1293" t="s">
        <v>268</v>
      </c>
      <c r="E69" s="1285" t="s">
        <v>269</v>
      </c>
      <c r="F69" s="1286">
        <v>13238013</v>
      </c>
      <c r="G69" s="1286">
        <v>13295189</v>
      </c>
      <c r="H69" s="1286"/>
      <c r="I69" s="1286"/>
      <c r="J69" s="1279"/>
      <c r="K69" s="1280"/>
      <c r="L69" s="1280"/>
      <c r="M69" s="1280"/>
      <c r="N69" s="1280"/>
      <c r="O69" s="1280"/>
      <c r="P69" s="1280"/>
      <c r="Q69" s="1280"/>
      <c r="R69" s="1280"/>
      <c r="S69" s="1280"/>
      <c r="T69" s="1280"/>
      <c r="U69" s="1280"/>
      <c r="V69" s="1280"/>
      <c r="W69" s="1280"/>
      <c r="X69" s="1280"/>
      <c r="Y69" s="1280"/>
      <c r="Z69" s="1280"/>
      <c r="AA69" s="1280"/>
      <c r="AB69" s="1280"/>
      <c r="AC69" s="1280"/>
      <c r="AD69" s="1280"/>
      <c r="AE69" s="1280"/>
      <c r="AF69" s="1280"/>
      <c r="AG69" s="1280"/>
    </row>
    <row r="70" spans="1:33" s="1281" customFormat="1" ht="30" customHeight="1">
      <c r="A70" s="1411"/>
      <c r="B70" s="1411"/>
      <c r="C70" s="1287"/>
      <c r="D70" s="2007" t="s">
        <v>311</v>
      </c>
      <c r="E70" s="2008"/>
      <c r="F70" s="2008"/>
      <c r="G70" s="2008"/>
      <c r="H70" s="2008"/>
      <c r="I70" s="2009"/>
      <c r="J70" s="1279"/>
      <c r="K70" s="1280"/>
      <c r="L70" s="1280"/>
      <c r="M70" s="1280"/>
      <c r="N70" s="1280"/>
      <c r="O70" s="1280"/>
      <c r="P70" s="1280"/>
      <c r="Q70" s="1280"/>
      <c r="R70" s="1280"/>
      <c r="S70" s="1280"/>
      <c r="T70" s="1280"/>
      <c r="U70" s="1280"/>
      <c r="V70" s="1280"/>
      <c r="W70" s="1280"/>
      <c r="X70" s="1280"/>
      <c r="Y70" s="1280"/>
      <c r="Z70" s="1280"/>
      <c r="AA70" s="1280"/>
      <c r="AB70" s="1280"/>
      <c r="AC70" s="1280"/>
      <c r="AD70" s="1280"/>
      <c r="AE70" s="1280"/>
      <c r="AF70" s="1280"/>
      <c r="AG70" s="1280"/>
    </row>
    <row r="71" spans="1:33" s="1310" customFormat="1" ht="48" customHeight="1">
      <c r="A71" s="1304"/>
      <c r="B71" s="1298">
        <v>75807</v>
      </c>
      <c r="C71" s="1271"/>
      <c r="D71" s="1299" t="s">
        <v>270</v>
      </c>
      <c r="E71" s="1300"/>
      <c r="F71" s="1301">
        <f>F72</f>
        <v>3041236</v>
      </c>
      <c r="G71" s="1301">
        <f>G72</f>
        <v>3617391</v>
      </c>
      <c r="H71" s="1301"/>
      <c r="I71" s="1301"/>
      <c r="J71" s="1267"/>
      <c r="K71" s="1268"/>
      <c r="L71" s="1268"/>
      <c r="M71" s="1268"/>
      <c r="N71" s="1268"/>
      <c r="O71" s="1268"/>
      <c r="P71" s="1268"/>
      <c r="Q71" s="1268"/>
      <c r="R71" s="1268"/>
      <c r="S71" s="1268"/>
      <c r="T71" s="1268"/>
      <c r="U71" s="1268"/>
      <c r="V71" s="1268"/>
      <c r="W71" s="1268"/>
      <c r="X71" s="1268"/>
      <c r="Y71" s="1268"/>
      <c r="Z71" s="1268"/>
      <c r="AA71" s="1268"/>
      <c r="AB71" s="1268"/>
      <c r="AC71" s="1268"/>
      <c r="AD71" s="1268"/>
      <c r="AE71" s="1268"/>
      <c r="AF71" s="1268"/>
      <c r="AG71" s="1268"/>
    </row>
    <row r="72" spans="1:33" s="1281" customFormat="1" ht="38.25" customHeight="1">
      <c r="A72" s="1411"/>
      <c r="B72" s="1411"/>
      <c r="C72" s="1283">
        <v>1</v>
      </c>
      <c r="D72" s="1293" t="s">
        <v>271</v>
      </c>
      <c r="E72" s="1285" t="s">
        <v>269</v>
      </c>
      <c r="F72" s="1286">
        <v>3041236</v>
      </c>
      <c r="G72" s="1286">
        <v>3617391</v>
      </c>
      <c r="H72" s="1286"/>
      <c r="I72" s="1286"/>
      <c r="J72" s="1279"/>
      <c r="K72" s="1280"/>
      <c r="L72" s="1280"/>
      <c r="M72" s="1280"/>
      <c r="N72" s="1280"/>
      <c r="O72" s="1280"/>
      <c r="P72" s="1280"/>
      <c r="Q72" s="1280"/>
      <c r="R72" s="1280"/>
      <c r="S72" s="1280"/>
      <c r="T72" s="1280"/>
      <c r="U72" s="1280"/>
      <c r="V72" s="1280"/>
      <c r="W72" s="1280"/>
      <c r="X72" s="1280"/>
      <c r="Y72" s="1280"/>
      <c r="Z72" s="1280"/>
      <c r="AA72" s="1280"/>
      <c r="AB72" s="1280"/>
      <c r="AC72" s="1280"/>
      <c r="AD72" s="1280"/>
      <c r="AE72" s="1280"/>
      <c r="AF72" s="1280"/>
      <c r="AG72" s="1280"/>
    </row>
    <row r="73" spans="1:33" s="1281" customFormat="1" ht="31.5" customHeight="1">
      <c r="A73" s="1411"/>
      <c r="B73" s="1411"/>
      <c r="C73" s="1324"/>
      <c r="D73" s="2007" t="s">
        <v>311</v>
      </c>
      <c r="E73" s="2008"/>
      <c r="F73" s="2008"/>
      <c r="G73" s="2008"/>
      <c r="H73" s="2008"/>
      <c r="I73" s="2009"/>
      <c r="J73" s="1279"/>
      <c r="K73" s="1280"/>
      <c r="L73" s="1280"/>
      <c r="M73" s="1280"/>
      <c r="N73" s="1280"/>
      <c r="O73" s="1280"/>
      <c r="P73" s="1280"/>
      <c r="Q73" s="1280"/>
      <c r="R73" s="1280"/>
      <c r="S73" s="1280"/>
      <c r="T73" s="1280"/>
      <c r="U73" s="1280"/>
      <c r="V73" s="1280"/>
      <c r="W73" s="1280"/>
      <c r="X73" s="1280"/>
      <c r="Y73" s="1280"/>
      <c r="Z73" s="1280"/>
      <c r="AA73" s="1280"/>
      <c r="AB73" s="1280"/>
      <c r="AC73" s="1280"/>
      <c r="AD73" s="1280"/>
      <c r="AE73" s="1280"/>
      <c r="AF73" s="1280"/>
      <c r="AG73" s="1280"/>
    </row>
    <row r="74" spans="1:33" s="1310" customFormat="1" ht="48" customHeight="1">
      <c r="A74" s="1304"/>
      <c r="B74" s="1298">
        <v>75814</v>
      </c>
      <c r="C74" s="1271"/>
      <c r="D74" s="1299" t="s">
        <v>272</v>
      </c>
      <c r="E74" s="1300"/>
      <c r="F74" s="1301">
        <f>F75</f>
        <v>25000</v>
      </c>
      <c r="G74" s="1301">
        <f>G75</f>
        <v>26000</v>
      </c>
      <c r="H74" s="1301"/>
      <c r="I74" s="1301"/>
      <c r="J74" s="1267"/>
      <c r="K74" s="1268"/>
      <c r="L74" s="1268"/>
      <c r="M74" s="1268"/>
      <c r="N74" s="1268"/>
      <c r="O74" s="1268"/>
      <c r="P74" s="1268"/>
      <c r="Q74" s="1268"/>
      <c r="R74" s="1268"/>
      <c r="S74" s="1268"/>
      <c r="T74" s="1268"/>
      <c r="U74" s="1268"/>
      <c r="V74" s="1268"/>
      <c r="W74" s="1268"/>
      <c r="X74" s="1268"/>
      <c r="Y74" s="1268"/>
      <c r="Z74" s="1268"/>
      <c r="AA74" s="1268"/>
      <c r="AB74" s="1268"/>
      <c r="AC74" s="1268"/>
      <c r="AD74" s="1268"/>
      <c r="AE74" s="1268"/>
      <c r="AF74" s="1268"/>
      <c r="AG74" s="1268"/>
    </row>
    <row r="75" spans="1:33" s="1281" customFormat="1" ht="39.75" customHeight="1">
      <c r="A75" s="1411"/>
      <c r="B75" s="1411"/>
      <c r="C75" s="1287">
        <v>1</v>
      </c>
      <c r="D75" s="1293" t="s">
        <v>273</v>
      </c>
      <c r="E75" s="1325" t="s">
        <v>209</v>
      </c>
      <c r="F75" s="1326">
        <v>25000</v>
      </c>
      <c r="G75" s="1327">
        <v>26000</v>
      </c>
      <c r="H75" s="1327"/>
      <c r="I75" s="1327"/>
      <c r="J75" s="1279"/>
      <c r="K75" s="1280"/>
      <c r="L75" s="1280"/>
      <c r="M75" s="1280"/>
      <c r="N75" s="1280"/>
      <c r="O75" s="1280"/>
      <c r="P75" s="1280"/>
      <c r="Q75" s="1280"/>
      <c r="R75" s="1280"/>
      <c r="S75" s="1280"/>
      <c r="T75" s="1280"/>
      <c r="U75" s="1280"/>
      <c r="V75" s="1280"/>
      <c r="W75" s="1280"/>
      <c r="X75" s="1280"/>
      <c r="Y75" s="1280"/>
      <c r="Z75" s="1280"/>
      <c r="AA75" s="1280"/>
      <c r="AB75" s="1280"/>
      <c r="AC75" s="1280"/>
      <c r="AD75" s="1280"/>
      <c r="AE75" s="1280"/>
      <c r="AF75" s="1280"/>
      <c r="AG75" s="1280"/>
    </row>
    <row r="76" spans="1:33" s="1310" customFormat="1" ht="48" customHeight="1">
      <c r="A76" s="1304"/>
      <c r="B76" s="1298">
        <v>75831</v>
      </c>
      <c r="C76" s="1271"/>
      <c r="D76" s="1299" t="s">
        <v>274</v>
      </c>
      <c r="E76" s="1300"/>
      <c r="F76" s="1301">
        <f>F77</f>
        <v>689506</v>
      </c>
      <c r="G76" s="1301">
        <f>G77</f>
        <v>690882</v>
      </c>
      <c r="H76" s="1301"/>
      <c r="I76" s="1301"/>
      <c r="J76" s="1267"/>
      <c r="K76" s="1268"/>
      <c r="L76" s="1268"/>
      <c r="M76" s="1268"/>
      <c r="N76" s="1268"/>
      <c r="O76" s="1268"/>
      <c r="P76" s="1268"/>
      <c r="Q76" s="1268"/>
      <c r="R76" s="1268"/>
      <c r="S76" s="1268"/>
      <c r="T76" s="1268"/>
      <c r="U76" s="1268"/>
      <c r="V76" s="1268"/>
      <c r="W76" s="1268"/>
      <c r="X76" s="1268"/>
      <c r="Y76" s="1268"/>
      <c r="Z76" s="1268"/>
      <c r="AA76" s="1268"/>
      <c r="AB76" s="1268"/>
      <c r="AC76" s="1268"/>
      <c r="AD76" s="1268"/>
      <c r="AE76" s="1268"/>
      <c r="AF76" s="1268"/>
      <c r="AG76" s="1268"/>
    </row>
    <row r="77" spans="1:33" s="1281" customFormat="1" ht="39.75" customHeight="1">
      <c r="A77" s="1411"/>
      <c r="B77" s="1411"/>
      <c r="C77" s="1287">
        <v>1</v>
      </c>
      <c r="D77" s="1293" t="s">
        <v>275</v>
      </c>
      <c r="E77" s="1325">
        <v>2920</v>
      </c>
      <c r="F77" s="1326">
        <v>689506</v>
      </c>
      <c r="G77" s="1327">
        <v>690882</v>
      </c>
      <c r="H77" s="1327"/>
      <c r="I77" s="1327"/>
      <c r="J77" s="1279"/>
      <c r="K77" s="1280"/>
      <c r="L77" s="1280"/>
      <c r="M77" s="1280"/>
      <c r="N77" s="1280"/>
      <c r="O77" s="1280"/>
      <c r="P77" s="1280"/>
      <c r="Q77" s="1280"/>
      <c r="R77" s="1280"/>
      <c r="S77" s="1280"/>
      <c r="T77" s="1280"/>
      <c r="U77" s="1280"/>
      <c r="V77" s="1280"/>
      <c r="W77" s="1280"/>
      <c r="X77" s="1280"/>
      <c r="Y77" s="1280"/>
      <c r="Z77" s="1280"/>
      <c r="AA77" s="1280"/>
      <c r="AB77" s="1280"/>
      <c r="AC77" s="1280"/>
      <c r="AD77" s="1280"/>
      <c r="AE77" s="1280"/>
      <c r="AF77" s="1280"/>
      <c r="AG77" s="1280"/>
    </row>
    <row r="78" spans="1:33" s="1291" customFormat="1" ht="30" customHeight="1">
      <c r="A78" s="1417"/>
      <c r="B78" s="1417"/>
      <c r="C78" s="1287"/>
      <c r="D78" s="2007" t="s">
        <v>311</v>
      </c>
      <c r="E78" s="2008"/>
      <c r="F78" s="2008"/>
      <c r="G78" s="2008"/>
      <c r="H78" s="2008"/>
      <c r="I78" s="2009"/>
      <c r="J78" s="1289"/>
      <c r="K78" s="1290"/>
      <c r="L78" s="1290"/>
      <c r="M78" s="1290"/>
      <c r="N78" s="1290"/>
      <c r="O78" s="1290"/>
      <c r="P78" s="1290"/>
      <c r="Q78" s="1290"/>
      <c r="R78" s="1290"/>
      <c r="S78" s="1290"/>
      <c r="T78" s="1290"/>
      <c r="U78" s="1290"/>
      <c r="V78" s="1290"/>
      <c r="W78" s="1290"/>
      <c r="X78" s="1290"/>
      <c r="Y78" s="1290"/>
      <c r="Z78" s="1290"/>
      <c r="AA78" s="1290"/>
      <c r="AB78" s="1290"/>
      <c r="AC78" s="1290"/>
      <c r="AD78" s="1290"/>
      <c r="AE78" s="1290"/>
      <c r="AF78" s="1290"/>
      <c r="AG78" s="1290"/>
    </row>
    <row r="79" spans="1:245" s="1268" customFormat="1" ht="42" customHeight="1">
      <c r="A79" s="1262">
        <v>8</v>
      </c>
      <c r="B79" s="1262">
        <v>801</v>
      </c>
      <c r="C79" s="1263"/>
      <c r="D79" s="1282" t="s">
        <v>643</v>
      </c>
      <c r="E79" s="1265"/>
      <c r="F79" s="1266">
        <f>F80+F104</f>
        <v>167757</v>
      </c>
      <c r="G79" s="1266">
        <f>G80+G104</f>
        <v>165513</v>
      </c>
      <c r="H79" s="1266">
        <f>H80+H104</f>
        <v>0</v>
      </c>
      <c r="I79" s="1266">
        <f>I80+I104</f>
        <v>0</v>
      </c>
      <c r="J79" s="1296"/>
      <c r="K79" s="1297"/>
      <c r="L79" s="1297"/>
      <c r="M79" s="1297"/>
      <c r="N79" s="1297"/>
      <c r="O79" s="1297"/>
      <c r="P79" s="1297"/>
      <c r="Q79" s="1297"/>
      <c r="R79" s="1297"/>
      <c r="S79" s="1297"/>
      <c r="T79" s="1297"/>
      <c r="U79" s="1297"/>
      <c r="V79" s="1297"/>
      <c r="W79" s="1297"/>
      <c r="X79" s="1297"/>
      <c r="Y79" s="1297"/>
      <c r="Z79" s="1297"/>
      <c r="AA79" s="1297"/>
      <c r="AB79" s="1297"/>
      <c r="AC79" s="1297"/>
      <c r="AD79" s="1297"/>
      <c r="AE79" s="1297"/>
      <c r="AF79" s="1297"/>
      <c r="AG79" s="1297"/>
      <c r="AH79" s="1297"/>
      <c r="AI79" s="1297"/>
      <c r="AJ79" s="1297"/>
      <c r="AK79" s="1297"/>
      <c r="AL79" s="1297"/>
      <c r="AM79" s="1297"/>
      <c r="AN79" s="1297"/>
      <c r="AO79" s="1297"/>
      <c r="AP79" s="1297"/>
      <c r="AQ79" s="1297"/>
      <c r="AR79" s="1297"/>
      <c r="AS79" s="1297"/>
      <c r="AT79" s="1297"/>
      <c r="AU79" s="1297"/>
      <c r="AV79" s="1297"/>
      <c r="AW79" s="1297"/>
      <c r="AX79" s="1297"/>
      <c r="AY79" s="1297"/>
      <c r="AZ79" s="1297"/>
      <c r="BA79" s="1297"/>
      <c r="BB79" s="1297"/>
      <c r="BC79" s="1297"/>
      <c r="BD79" s="1297"/>
      <c r="BE79" s="1297"/>
      <c r="BF79" s="1297"/>
      <c r="BG79" s="1297"/>
      <c r="BH79" s="1297"/>
      <c r="BI79" s="1297"/>
      <c r="BJ79" s="1297"/>
      <c r="BK79" s="1297"/>
      <c r="BL79" s="1297"/>
      <c r="BM79" s="1297"/>
      <c r="BN79" s="1297"/>
      <c r="BO79" s="1297"/>
      <c r="BP79" s="1297"/>
      <c r="BQ79" s="1297"/>
      <c r="BR79" s="1297"/>
      <c r="BS79" s="1297"/>
      <c r="BT79" s="1297"/>
      <c r="BU79" s="1297"/>
      <c r="BV79" s="1297"/>
      <c r="BW79" s="1297"/>
      <c r="BX79" s="1297"/>
      <c r="BY79" s="1297"/>
      <c r="BZ79" s="1297"/>
      <c r="CA79" s="1297"/>
      <c r="CB79" s="1297"/>
      <c r="CC79" s="1297"/>
      <c r="CD79" s="1297"/>
      <c r="CE79" s="1297"/>
      <c r="CF79" s="1297"/>
      <c r="CG79" s="1297"/>
      <c r="CH79" s="1297"/>
      <c r="CI79" s="1297"/>
      <c r="CJ79" s="1297"/>
      <c r="CK79" s="1297"/>
      <c r="CL79" s="1297"/>
      <c r="CM79" s="1297"/>
      <c r="CN79" s="1297"/>
      <c r="CO79" s="1297"/>
      <c r="CP79" s="1297"/>
      <c r="CQ79" s="1297"/>
      <c r="CR79" s="1297"/>
      <c r="CS79" s="1297"/>
      <c r="CT79" s="1297"/>
      <c r="CU79" s="1297"/>
      <c r="CV79" s="1297"/>
      <c r="CW79" s="1297"/>
      <c r="CX79" s="1297"/>
      <c r="CY79" s="1297"/>
      <c r="CZ79" s="1297"/>
      <c r="DA79" s="1297"/>
      <c r="DB79" s="1297"/>
      <c r="DC79" s="1297"/>
      <c r="DD79" s="1297"/>
      <c r="DE79" s="1297"/>
      <c r="DF79" s="1297"/>
      <c r="DG79" s="1297"/>
      <c r="DH79" s="1297"/>
      <c r="DI79" s="1297"/>
      <c r="DJ79" s="1297"/>
      <c r="DK79" s="1297"/>
      <c r="DL79" s="1297"/>
      <c r="DM79" s="1297"/>
      <c r="DN79" s="1297"/>
      <c r="DO79" s="1297"/>
      <c r="DP79" s="1297"/>
      <c r="DQ79" s="1297"/>
      <c r="DR79" s="1297"/>
      <c r="DS79" s="1297"/>
      <c r="DT79" s="1297"/>
      <c r="DU79" s="1297"/>
      <c r="DV79" s="1297"/>
      <c r="DW79" s="1297"/>
      <c r="DX79" s="1297"/>
      <c r="DY79" s="1297"/>
      <c r="DZ79" s="1297"/>
      <c r="EA79" s="1297"/>
      <c r="EB79" s="1297"/>
      <c r="EC79" s="1297"/>
      <c r="ED79" s="1297"/>
      <c r="EE79" s="1297"/>
      <c r="EF79" s="1297"/>
      <c r="EG79" s="1297"/>
      <c r="EH79" s="1297"/>
      <c r="EI79" s="1297"/>
      <c r="EJ79" s="1297"/>
      <c r="EK79" s="1297"/>
      <c r="EL79" s="1297"/>
      <c r="EM79" s="1297"/>
      <c r="EN79" s="1297"/>
      <c r="EO79" s="1297"/>
      <c r="EP79" s="1297"/>
      <c r="EQ79" s="1297"/>
      <c r="ER79" s="1297"/>
      <c r="ES79" s="1297"/>
      <c r="ET79" s="1297"/>
      <c r="EU79" s="1297"/>
      <c r="EV79" s="1297"/>
      <c r="EW79" s="1297"/>
      <c r="EX79" s="1297"/>
      <c r="EY79" s="1297"/>
      <c r="EZ79" s="1297"/>
      <c r="FA79" s="1297"/>
      <c r="FB79" s="1297"/>
      <c r="FC79" s="1297"/>
      <c r="FD79" s="1297"/>
      <c r="FE79" s="1297"/>
      <c r="FF79" s="1297"/>
      <c r="FG79" s="1297"/>
      <c r="FH79" s="1297"/>
      <c r="FI79" s="1297"/>
      <c r="FJ79" s="1297"/>
      <c r="FK79" s="1297"/>
      <c r="FL79" s="1297"/>
      <c r="FM79" s="1297"/>
      <c r="FN79" s="1297"/>
      <c r="FO79" s="1297"/>
      <c r="FP79" s="1297"/>
      <c r="FQ79" s="1297"/>
      <c r="FR79" s="1297"/>
      <c r="FS79" s="1297"/>
      <c r="FT79" s="1297"/>
      <c r="FU79" s="1297"/>
      <c r="FV79" s="1297"/>
      <c r="FW79" s="1297"/>
      <c r="FX79" s="1297"/>
      <c r="FY79" s="1297"/>
      <c r="FZ79" s="1297"/>
      <c r="GA79" s="1297"/>
      <c r="GB79" s="1297"/>
      <c r="GC79" s="1297"/>
      <c r="GD79" s="1297"/>
      <c r="GE79" s="1297"/>
      <c r="GF79" s="1297"/>
      <c r="GG79" s="1297"/>
      <c r="GH79" s="1297"/>
      <c r="GI79" s="1297"/>
      <c r="GJ79" s="1297"/>
      <c r="GK79" s="1297"/>
      <c r="GL79" s="1297"/>
      <c r="GM79" s="1297"/>
      <c r="GN79" s="1297"/>
      <c r="GO79" s="1297"/>
      <c r="GP79" s="1297"/>
      <c r="GQ79" s="1297"/>
      <c r="GR79" s="1297"/>
      <c r="GS79" s="1297"/>
      <c r="GT79" s="1297"/>
      <c r="GU79" s="1297"/>
      <c r="GV79" s="1297"/>
      <c r="GW79" s="1297"/>
      <c r="GX79" s="1297"/>
      <c r="GY79" s="1297"/>
      <c r="GZ79" s="1297"/>
      <c r="HA79" s="1297"/>
      <c r="HB79" s="1297"/>
      <c r="HC79" s="1297"/>
      <c r="HD79" s="1297"/>
      <c r="HE79" s="1297"/>
      <c r="HF79" s="1297"/>
      <c r="HG79" s="1297"/>
      <c r="HH79" s="1297"/>
      <c r="HI79" s="1297"/>
      <c r="HJ79" s="1297"/>
      <c r="HK79" s="1297"/>
      <c r="HL79" s="1297"/>
      <c r="HM79" s="1297"/>
      <c r="HN79" s="1297"/>
      <c r="HO79" s="1297"/>
      <c r="HP79" s="1297"/>
      <c r="HQ79" s="1297"/>
      <c r="HR79" s="1297"/>
      <c r="HS79" s="1297"/>
      <c r="HT79" s="1297"/>
      <c r="HU79" s="1297"/>
      <c r="HV79" s="1297"/>
      <c r="HW79" s="1297"/>
      <c r="HX79" s="1297"/>
      <c r="HY79" s="1297"/>
      <c r="HZ79" s="1297"/>
      <c r="IA79" s="1297"/>
      <c r="IB79" s="1297"/>
      <c r="IC79" s="1297"/>
      <c r="ID79" s="1297"/>
      <c r="IE79" s="1297"/>
      <c r="IF79" s="1297"/>
      <c r="IG79" s="1297"/>
      <c r="IH79" s="1297"/>
      <c r="II79" s="1297"/>
      <c r="IJ79" s="1297"/>
      <c r="IK79" s="1297"/>
    </row>
    <row r="80" spans="1:10" s="1268" customFormat="1" ht="41.25" customHeight="1">
      <c r="A80" s="1269"/>
      <c r="B80" s="1328">
        <v>80101</v>
      </c>
      <c r="C80" s="1271"/>
      <c r="D80" s="1313" t="s">
        <v>1015</v>
      </c>
      <c r="E80" s="1273"/>
      <c r="F80" s="1274">
        <f>F81+F86+F89+F94+F97+F101</f>
        <v>92735</v>
      </c>
      <c r="G80" s="1274">
        <f>G81+G86+G89+G94+G97+G101</f>
        <v>118365</v>
      </c>
      <c r="H80" s="1274">
        <f>H81+H86+H89+H97</f>
        <v>0</v>
      </c>
      <c r="I80" s="1274">
        <f>I81+I86+I89+I97</f>
        <v>0</v>
      </c>
      <c r="J80" s="1267"/>
    </row>
    <row r="81" spans="1:33" s="1281" customFormat="1" ht="45" customHeight="1">
      <c r="A81" s="1411"/>
      <c r="B81" s="1411"/>
      <c r="C81" s="1287">
        <v>1</v>
      </c>
      <c r="D81" s="1284" t="s">
        <v>276</v>
      </c>
      <c r="E81" s="1325" t="s">
        <v>182</v>
      </c>
      <c r="F81" s="1326">
        <f>2400+55000</f>
        <v>57400</v>
      </c>
      <c r="G81" s="1327">
        <f>2400+30000+55000</f>
        <v>87400</v>
      </c>
      <c r="H81" s="1327"/>
      <c r="I81" s="1327"/>
      <c r="J81" s="1279"/>
      <c r="K81" s="1280"/>
      <c r="L81" s="1280"/>
      <c r="M81" s="1280"/>
      <c r="N81" s="1280"/>
      <c r="O81" s="1280"/>
      <c r="P81" s="1280"/>
      <c r="Q81" s="1280"/>
      <c r="R81" s="1280"/>
      <c r="S81" s="1280"/>
      <c r="T81" s="1280"/>
      <c r="U81" s="1280"/>
      <c r="V81" s="1280"/>
      <c r="W81" s="1280"/>
      <c r="X81" s="1280"/>
      <c r="Y81" s="1280"/>
      <c r="Z81" s="1280"/>
      <c r="AA81" s="1280"/>
      <c r="AB81" s="1280"/>
      <c r="AC81" s="1280"/>
      <c r="AD81" s="1280"/>
      <c r="AE81" s="1280"/>
      <c r="AF81" s="1280"/>
      <c r="AG81" s="1280"/>
    </row>
    <row r="82" spans="1:33" s="1291" customFormat="1" ht="24" customHeight="1">
      <c r="A82" s="1411"/>
      <c r="B82" s="1411"/>
      <c r="C82" s="1287"/>
      <c r="D82" s="1288" t="s">
        <v>706</v>
      </c>
      <c r="E82" s="1329"/>
      <c r="F82" s="1329"/>
      <c r="G82" s="1329"/>
      <c r="H82" s="1329"/>
      <c r="I82" s="1329"/>
      <c r="J82" s="1289"/>
      <c r="K82" s="1290"/>
      <c r="L82" s="1290"/>
      <c r="M82" s="1290"/>
      <c r="N82" s="1290"/>
      <c r="O82" s="1290"/>
      <c r="P82" s="1290"/>
      <c r="Q82" s="1290"/>
      <c r="R82" s="1290"/>
      <c r="S82" s="1290"/>
      <c r="T82" s="1290"/>
      <c r="U82" s="1290"/>
      <c r="V82" s="1290"/>
      <c r="W82" s="1290"/>
      <c r="X82" s="1290"/>
      <c r="Y82" s="1290"/>
      <c r="Z82" s="1290"/>
      <c r="AA82" s="1290"/>
      <c r="AB82" s="1290"/>
      <c r="AC82" s="1290"/>
      <c r="AD82" s="1290"/>
      <c r="AE82" s="1290"/>
      <c r="AF82" s="1290"/>
      <c r="AG82" s="1290"/>
    </row>
    <row r="83" spans="1:33" s="1291" customFormat="1" ht="24" customHeight="1">
      <c r="A83" s="1411"/>
      <c r="B83" s="1411"/>
      <c r="C83" s="1287"/>
      <c r="D83" s="1294" t="s">
        <v>1001</v>
      </c>
      <c r="E83" s="1329"/>
      <c r="F83" s="1329"/>
      <c r="G83" s="1329"/>
      <c r="H83" s="1329"/>
      <c r="I83" s="1329"/>
      <c r="J83" s="1289" t="s">
        <v>526</v>
      </c>
      <c r="K83" s="1290"/>
      <c r="L83" s="1290"/>
      <c r="M83" s="1290"/>
      <c r="N83" s="1290"/>
      <c r="O83" s="1290"/>
      <c r="P83" s="1290"/>
      <c r="Q83" s="1290"/>
      <c r="R83" s="1290"/>
      <c r="S83" s="1290"/>
      <c r="T83" s="1290"/>
      <c r="U83" s="1290"/>
      <c r="V83" s="1290"/>
      <c r="W83" s="1290"/>
      <c r="X83" s="1290"/>
      <c r="Y83" s="1290"/>
      <c r="Z83" s="1290"/>
      <c r="AA83" s="1290"/>
      <c r="AB83" s="1290"/>
      <c r="AC83" s="1290"/>
      <c r="AD83" s="1290"/>
      <c r="AE83" s="1290"/>
      <c r="AF83" s="1290"/>
      <c r="AG83" s="1290"/>
    </row>
    <row r="84" spans="1:33" s="1291" customFormat="1" ht="24" customHeight="1">
      <c r="A84" s="1411"/>
      <c r="B84" s="1411"/>
      <c r="C84" s="1287"/>
      <c r="D84" s="1294" t="s">
        <v>277</v>
      </c>
      <c r="E84" s="1329"/>
      <c r="F84" s="1329"/>
      <c r="G84" s="1329"/>
      <c r="H84" s="1329"/>
      <c r="I84" s="1329"/>
      <c r="J84" s="1289" t="s">
        <v>526</v>
      </c>
      <c r="K84" s="1290"/>
      <c r="L84" s="1290"/>
      <c r="M84" s="1290"/>
      <c r="N84" s="1290"/>
      <c r="O84" s="1290"/>
      <c r="P84" s="1290"/>
      <c r="Q84" s="1290"/>
      <c r="R84" s="1290"/>
      <c r="S84" s="1290"/>
      <c r="T84" s="1290"/>
      <c r="U84" s="1290"/>
      <c r="V84" s="1290"/>
      <c r="W84" s="1290"/>
      <c r="X84" s="1290"/>
      <c r="Y84" s="1290"/>
      <c r="Z84" s="1290"/>
      <c r="AA84" s="1290"/>
      <c r="AB84" s="1290"/>
      <c r="AC84" s="1290"/>
      <c r="AD84" s="1290"/>
      <c r="AE84" s="1290"/>
      <c r="AF84" s="1290"/>
      <c r="AG84" s="1290"/>
    </row>
    <row r="85" spans="1:33" s="1291" customFormat="1" ht="24" customHeight="1">
      <c r="A85" s="1411"/>
      <c r="B85" s="1411"/>
      <c r="C85" s="1287"/>
      <c r="D85" s="1294" t="s">
        <v>278</v>
      </c>
      <c r="E85" s="1329"/>
      <c r="F85" s="1329"/>
      <c r="G85" s="1329"/>
      <c r="H85" s="1329"/>
      <c r="I85" s="1329"/>
      <c r="J85" s="1289" t="s">
        <v>526</v>
      </c>
      <c r="K85" s="1290"/>
      <c r="L85" s="1290"/>
      <c r="M85" s="1290"/>
      <c r="N85" s="1290"/>
      <c r="O85" s="1290"/>
      <c r="P85" s="1290"/>
      <c r="Q85" s="1290"/>
      <c r="R85" s="1290"/>
      <c r="S85" s="1290"/>
      <c r="T85" s="1290"/>
      <c r="U85" s="1290"/>
      <c r="V85" s="1290"/>
      <c r="W85" s="1290"/>
      <c r="X85" s="1290"/>
      <c r="Y85" s="1290"/>
      <c r="Z85" s="1290"/>
      <c r="AA85" s="1290"/>
      <c r="AB85" s="1290"/>
      <c r="AC85" s="1290"/>
      <c r="AD85" s="1290"/>
      <c r="AE85" s="1290"/>
      <c r="AF85" s="1290"/>
      <c r="AG85" s="1290"/>
    </row>
    <row r="86" spans="1:33" s="1281" customFormat="1" ht="30" customHeight="1">
      <c r="A86" s="1411"/>
      <c r="B86" s="1411"/>
      <c r="C86" s="1292">
        <v>2</v>
      </c>
      <c r="D86" s="1315" t="s">
        <v>279</v>
      </c>
      <c r="E86" s="1285" t="s">
        <v>280</v>
      </c>
      <c r="F86" s="1330">
        <f>23795</f>
        <v>23795</v>
      </c>
      <c r="G86" s="1286">
        <f>25000</f>
        <v>25000</v>
      </c>
      <c r="H86" s="1286"/>
      <c r="I86" s="1286"/>
      <c r="J86" s="1279"/>
      <c r="K86" s="1280"/>
      <c r="L86" s="1280"/>
      <c r="M86" s="1280"/>
      <c r="N86" s="1280"/>
      <c r="O86" s="1280"/>
      <c r="P86" s="1280"/>
      <c r="Q86" s="1280"/>
      <c r="R86" s="1280"/>
      <c r="S86" s="1280"/>
      <c r="T86" s="1280"/>
      <c r="U86" s="1280"/>
      <c r="V86" s="1280"/>
      <c r="W86" s="1280"/>
      <c r="X86" s="1280"/>
      <c r="Y86" s="1280"/>
      <c r="Z86" s="1280"/>
      <c r="AA86" s="1280"/>
      <c r="AB86" s="1280"/>
      <c r="AC86" s="1280"/>
      <c r="AD86" s="1280"/>
      <c r="AE86" s="1280"/>
      <c r="AF86" s="1280"/>
      <c r="AG86" s="1280"/>
    </row>
    <row r="87" spans="1:33" s="1291" customFormat="1" ht="24" customHeight="1">
      <c r="A87" s="1411"/>
      <c r="B87" s="1411"/>
      <c r="C87" s="1287"/>
      <c r="D87" s="1288" t="s">
        <v>706</v>
      </c>
      <c r="E87" s="1329"/>
      <c r="F87" s="1329"/>
      <c r="G87" s="1329"/>
      <c r="H87" s="1329"/>
      <c r="I87" s="1329"/>
      <c r="J87" s="1289"/>
      <c r="K87" s="1290"/>
      <c r="L87" s="1290"/>
      <c r="M87" s="1290"/>
      <c r="N87" s="1290"/>
      <c r="O87" s="1290"/>
      <c r="P87" s="1290"/>
      <c r="Q87" s="1290"/>
      <c r="R87" s="1290"/>
      <c r="S87" s="1290"/>
      <c r="T87" s="1290"/>
      <c r="U87" s="1290"/>
      <c r="V87" s="1290"/>
      <c r="W87" s="1290"/>
      <c r="X87" s="1290"/>
      <c r="Y87" s="1290"/>
      <c r="Z87" s="1290"/>
      <c r="AA87" s="1290"/>
      <c r="AB87" s="1290"/>
      <c r="AC87" s="1290"/>
      <c r="AD87" s="1290"/>
      <c r="AE87" s="1290"/>
      <c r="AF87" s="1290"/>
      <c r="AG87" s="1290"/>
    </row>
    <row r="88" spans="1:33" s="1291" customFormat="1" ht="24" customHeight="1">
      <c r="A88" s="1411"/>
      <c r="B88" s="1411"/>
      <c r="C88" s="1287"/>
      <c r="D88" s="1294" t="s">
        <v>1002</v>
      </c>
      <c r="E88" s="1329"/>
      <c r="F88" s="1329"/>
      <c r="G88" s="1329"/>
      <c r="H88" s="1329"/>
      <c r="I88" s="1329"/>
      <c r="J88" s="1289" t="s">
        <v>526</v>
      </c>
      <c r="K88" s="1290"/>
      <c r="L88" s="1290"/>
      <c r="M88" s="1290"/>
      <c r="N88" s="1290"/>
      <c r="O88" s="1290"/>
      <c r="P88" s="1290"/>
      <c r="Q88" s="1290"/>
      <c r="R88" s="1290"/>
      <c r="S88" s="1290"/>
      <c r="T88" s="1290"/>
      <c r="U88" s="1290"/>
      <c r="V88" s="1290"/>
      <c r="W88" s="1290"/>
      <c r="X88" s="1290"/>
      <c r="Y88" s="1290"/>
      <c r="Z88" s="1290"/>
      <c r="AA88" s="1290"/>
      <c r="AB88" s="1290"/>
      <c r="AC88" s="1290"/>
      <c r="AD88" s="1290"/>
      <c r="AE88" s="1290"/>
      <c r="AF88" s="1290"/>
      <c r="AG88" s="1290"/>
    </row>
    <row r="89" spans="1:33" s="1281" customFormat="1" ht="30" customHeight="1">
      <c r="A89" s="1411"/>
      <c r="B89" s="1411"/>
      <c r="C89" s="1292">
        <v>3</v>
      </c>
      <c r="D89" s="1315" t="s">
        <v>281</v>
      </c>
      <c r="E89" s="1285" t="s">
        <v>209</v>
      </c>
      <c r="F89" s="1330">
        <f>5+600+800</f>
        <v>1405</v>
      </c>
      <c r="G89" s="1286">
        <f>5+600+800</f>
        <v>1405</v>
      </c>
      <c r="H89" s="1286"/>
      <c r="I89" s="1286"/>
      <c r="J89" s="1279"/>
      <c r="K89" s="1280"/>
      <c r="L89" s="1280"/>
      <c r="M89" s="1280"/>
      <c r="N89" s="1280"/>
      <c r="O89" s="1280"/>
      <c r="P89" s="1280"/>
      <c r="Q89" s="1280"/>
      <c r="R89" s="1280"/>
      <c r="S89" s="1280"/>
      <c r="T89" s="1280"/>
      <c r="U89" s="1280"/>
      <c r="V89" s="1280"/>
      <c r="W89" s="1280"/>
      <c r="X89" s="1280"/>
      <c r="Y89" s="1280"/>
      <c r="Z89" s="1280"/>
      <c r="AA89" s="1280"/>
      <c r="AB89" s="1280"/>
      <c r="AC89" s="1280"/>
      <c r="AD89" s="1280"/>
      <c r="AE89" s="1280"/>
      <c r="AF89" s="1280"/>
      <c r="AG89" s="1280"/>
    </row>
    <row r="90" spans="1:33" s="1291" customFormat="1" ht="24" customHeight="1">
      <c r="A90" s="1411"/>
      <c r="B90" s="1411"/>
      <c r="C90" s="1287"/>
      <c r="D90" s="1288" t="s">
        <v>706</v>
      </c>
      <c r="E90" s="1329"/>
      <c r="F90" s="1329"/>
      <c r="G90" s="1329"/>
      <c r="H90" s="1329"/>
      <c r="I90" s="1329"/>
      <c r="J90" s="1289"/>
      <c r="K90" s="1290"/>
      <c r="L90" s="1290"/>
      <c r="M90" s="1290"/>
      <c r="N90" s="1290"/>
      <c r="O90" s="1290"/>
      <c r="P90" s="1290"/>
      <c r="Q90" s="1290"/>
      <c r="R90" s="1290"/>
      <c r="S90" s="1290"/>
      <c r="T90" s="1290"/>
      <c r="U90" s="1290"/>
      <c r="V90" s="1290"/>
      <c r="W90" s="1290"/>
      <c r="X90" s="1290"/>
      <c r="Y90" s="1290"/>
      <c r="Z90" s="1290"/>
      <c r="AA90" s="1290"/>
      <c r="AB90" s="1290"/>
      <c r="AC90" s="1290"/>
      <c r="AD90" s="1290"/>
      <c r="AE90" s="1290"/>
      <c r="AF90" s="1290"/>
      <c r="AG90" s="1290"/>
    </row>
    <row r="91" spans="1:33" s="1291" customFormat="1" ht="24" customHeight="1">
      <c r="A91" s="1411"/>
      <c r="B91" s="1411"/>
      <c r="C91" s="1287"/>
      <c r="D91" s="1294" t="s">
        <v>1003</v>
      </c>
      <c r="E91" s="1329"/>
      <c r="F91" s="1329"/>
      <c r="G91" s="1329"/>
      <c r="H91" s="1329"/>
      <c r="I91" s="1329"/>
      <c r="J91" s="1289" t="s">
        <v>526</v>
      </c>
      <c r="K91" s="1290"/>
      <c r="L91" s="1290"/>
      <c r="M91" s="1290"/>
      <c r="N91" s="1290"/>
      <c r="O91" s="1290"/>
      <c r="P91" s="1290"/>
      <c r="Q91" s="1290"/>
      <c r="R91" s="1290"/>
      <c r="S91" s="1290"/>
      <c r="T91" s="1290"/>
      <c r="U91" s="1290"/>
      <c r="V91" s="1290"/>
      <c r="W91" s="1290"/>
      <c r="X91" s="1290"/>
      <c r="Y91" s="1290"/>
      <c r="Z91" s="1290"/>
      <c r="AA91" s="1290"/>
      <c r="AB91" s="1290"/>
      <c r="AC91" s="1290"/>
      <c r="AD91" s="1290"/>
      <c r="AE91" s="1290"/>
      <c r="AF91" s="1290"/>
      <c r="AG91" s="1290"/>
    </row>
    <row r="92" spans="1:33" s="1291" customFormat="1" ht="24" customHeight="1">
      <c r="A92" s="1411"/>
      <c r="B92" s="1411"/>
      <c r="C92" s="1287"/>
      <c r="D92" s="1294" t="s">
        <v>282</v>
      </c>
      <c r="E92" s="1329"/>
      <c r="F92" s="1329"/>
      <c r="G92" s="1329"/>
      <c r="H92" s="1329"/>
      <c r="I92" s="1329"/>
      <c r="J92" s="1289" t="s">
        <v>526</v>
      </c>
      <c r="K92" s="1290"/>
      <c r="L92" s="1290"/>
      <c r="M92" s="1290"/>
      <c r="N92" s="1290"/>
      <c r="O92" s="1290"/>
      <c r="P92" s="1290"/>
      <c r="Q92" s="1290"/>
      <c r="R92" s="1290"/>
      <c r="S92" s="1290"/>
      <c r="T92" s="1290"/>
      <c r="U92" s="1290"/>
      <c r="V92" s="1290"/>
      <c r="W92" s="1290"/>
      <c r="X92" s="1290"/>
      <c r="Y92" s="1290"/>
      <c r="Z92" s="1290"/>
      <c r="AA92" s="1290"/>
      <c r="AB92" s="1290"/>
      <c r="AC92" s="1290"/>
      <c r="AD92" s="1290"/>
      <c r="AE92" s="1290"/>
      <c r="AF92" s="1290"/>
      <c r="AG92" s="1290"/>
    </row>
    <row r="93" spans="1:33" s="1291" customFormat="1" ht="24" customHeight="1">
      <c r="A93" s="1411"/>
      <c r="B93" s="1411"/>
      <c r="C93" s="1287"/>
      <c r="D93" s="1294" t="s">
        <v>188</v>
      </c>
      <c r="E93" s="1329"/>
      <c r="F93" s="1329"/>
      <c r="G93" s="1329"/>
      <c r="H93" s="1329"/>
      <c r="I93" s="1329"/>
      <c r="J93" s="1289"/>
      <c r="K93" s="1290"/>
      <c r="L93" s="1290"/>
      <c r="M93" s="1290"/>
      <c r="N93" s="1290"/>
      <c r="O93" s="1290"/>
      <c r="P93" s="1290"/>
      <c r="Q93" s="1290"/>
      <c r="R93" s="1290"/>
      <c r="S93" s="1290"/>
      <c r="T93" s="1290"/>
      <c r="U93" s="1290"/>
      <c r="V93" s="1290"/>
      <c r="W93" s="1290"/>
      <c r="X93" s="1290"/>
      <c r="Y93" s="1290"/>
      <c r="Z93" s="1290"/>
      <c r="AA93" s="1290"/>
      <c r="AB93" s="1290"/>
      <c r="AC93" s="1290"/>
      <c r="AD93" s="1290"/>
      <c r="AE93" s="1290"/>
      <c r="AF93" s="1290"/>
      <c r="AG93" s="1290"/>
    </row>
    <row r="94" spans="1:33" s="1281" customFormat="1" ht="30" customHeight="1">
      <c r="A94" s="1411"/>
      <c r="B94" s="1411"/>
      <c r="C94" s="1292">
        <v>4</v>
      </c>
      <c r="D94" s="1315" t="s">
        <v>190</v>
      </c>
      <c r="E94" s="1285"/>
      <c r="F94" s="1330">
        <f>5500+150</f>
        <v>5650</v>
      </c>
      <c r="G94" s="1286">
        <v>400</v>
      </c>
      <c r="H94" s="1286"/>
      <c r="I94" s="1286"/>
      <c r="J94" s="1279"/>
      <c r="K94" s="1280"/>
      <c r="L94" s="1280"/>
      <c r="M94" s="1280"/>
      <c r="N94" s="1280"/>
      <c r="O94" s="1280"/>
      <c r="P94" s="1280"/>
      <c r="Q94" s="1280"/>
      <c r="R94" s="1280"/>
      <c r="S94" s="1280"/>
      <c r="T94" s="1280"/>
      <c r="U94" s="1280"/>
      <c r="V94" s="1280"/>
      <c r="W94" s="1280"/>
      <c r="X94" s="1280"/>
      <c r="Y94" s="1280"/>
      <c r="Z94" s="1280"/>
      <c r="AA94" s="1280"/>
      <c r="AB94" s="1280"/>
      <c r="AC94" s="1280"/>
      <c r="AD94" s="1280"/>
      <c r="AE94" s="1280"/>
      <c r="AF94" s="1280"/>
      <c r="AG94" s="1280"/>
    </row>
    <row r="95" spans="1:33" s="1291" customFormat="1" ht="24" customHeight="1">
      <c r="A95" s="1411"/>
      <c r="B95" s="1411"/>
      <c r="C95" s="1287"/>
      <c r="D95" s="1288" t="s">
        <v>706</v>
      </c>
      <c r="E95" s="1329"/>
      <c r="F95" s="1329"/>
      <c r="G95" s="1329"/>
      <c r="H95" s="1329"/>
      <c r="I95" s="1329"/>
      <c r="J95" s="1289"/>
      <c r="K95" s="1290"/>
      <c r="L95" s="1290"/>
      <c r="M95" s="1290"/>
      <c r="N95" s="1290"/>
      <c r="O95" s="1290"/>
      <c r="P95" s="1290"/>
      <c r="Q95" s="1290"/>
      <c r="R95" s="1290"/>
      <c r="S95" s="1290"/>
      <c r="T95" s="1290"/>
      <c r="U95" s="1290"/>
      <c r="V95" s="1290"/>
      <c r="W95" s="1290"/>
      <c r="X95" s="1290"/>
      <c r="Y95" s="1290"/>
      <c r="Z95" s="1290"/>
      <c r="AA95" s="1290"/>
      <c r="AB95" s="1290"/>
      <c r="AC95" s="1290"/>
      <c r="AD95" s="1290"/>
      <c r="AE95" s="1290"/>
      <c r="AF95" s="1290"/>
      <c r="AG95" s="1290"/>
    </row>
    <row r="96" spans="1:33" s="1291" customFormat="1" ht="24" customHeight="1">
      <c r="A96" s="1411"/>
      <c r="B96" s="1411"/>
      <c r="C96" s="1287"/>
      <c r="D96" s="1294" t="s">
        <v>191</v>
      </c>
      <c r="E96" s="1329"/>
      <c r="F96" s="1329"/>
      <c r="G96" s="1329"/>
      <c r="H96" s="1329"/>
      <c r="I96" s="1329"/>
      <c r="J96" s="1289"/>
      <c r="K96" s="1290"/>
      <c r="L96" s="1290"/>
      <c r="M96" s="1290"/>
      <c r="N96" s="1290"/>
      <c r="O96" s="1290"/>
      <c r="P96" s="1290"/>
      <c r="Q96" s="1290"/>
      <c r="R96" s="1290"/>
      <c r="S96" s="1290"/>
      <c r="T96" s="1290"/>
      <c r="U96" s="1290"/>
      <c r="V96" s="1290"/>
      <c r="W96" s="1290"/>
      <c r="X96" s="1290"/>
      <c r="Y96" s="1290"/>
      <c r="Z96" s="1290"/>
      <c r="AA96" s="1290"/>
      <c r="AB96" s="1290"/>
      <c r="AC96" s="1290"/>
      <c r="AD96" s="1290"/>
      <c r="AE96" s="1290"/>
      <c r="AF96" s="1290"/>
      <c r="AG96" s="1290"/>
    </row>
    <row r="97" spans="1:33" s="1281" customFormat="1" ht="30" customHeight="1">
      <c r="A97" s="1411"/>
      <c r="B97" s="1411"/>
      <c r="C97" s="1292">
        <v>5</v>
      </c>
      <c r="D97" s="1315" t="s">
        <v>283</v>
      </c>
      <c r="E97" s="1285" t="s">
        <v>284</v>
      </c>
      <c r="F97" s="1330">
        <f>2000+618</f>
        <v>2618</v>
      </c>
      <c r="G97" s="1286">
        <f>2400+515</f>
        <v>2915</v>
      </c>
      <c r="H97" s="1286"/>
      <c r="I97" s="1286"/>
      <c r="J97" s="1279"/>
      <c r="K97" s="1280"/>
      <c r="L97" s="1280"/>
      <c r="M97" s="1280"/>
      <c r="N97" s="1280"/>
      <c r="O97" s="1280"/>
      <c r="P97" s="1280"/>
      <c r="Q97" s="1280"/>
      <c r="R97" s="1280"/>
      <c r="S97" s="1280"/>
      <c r="T97" s="1280"/>
      <c r="U97" s="1280"/>
      <c r="V97" s="1280"/>
      <c r="W97" s="1280"/>
      <c r="X97" s="1280"/>
      <c r="Y97" s="1280"/>
      <c r="Z97" s="1280"/>
      <c r="AA97" s="1280"/>
      <c r="AB97" s="1280"/>
      <c r="AC97" s="1280"/>
      <c r="AD97" s="1280"/>
      <c r="AE97" s="1280"/>
      <c r="AF97" s="1280"/>
      <c r="AG97" s="1280"/>
    </row>
    <row r="98" spans="1:33" s="1291" customFormat="1" ht="24" customHeight="1">
      <c r="A98" s="1411"/>
      <c r="B98" s="1411"/>
      <c r="C98" s="1287"/>
      <c r="D98" s="1288" t="s">
        <v>706</v>
      </c>
      <c r="E98" s="1329"/>
      <c r="F98" s="1329"/>
      <c r="G98" s="1329"/>
      <c r="H98" s="1329"/>
      <c r="I98" s="1329"/>
      <c r="J98" s="1289"/>
      <c r="K98" s="1290"/>
      <c r="L98" s="1290"/>
      <c r="M98" s="1290"/>
      <c r="N98" s="1290"/>
      <c r="O98" s="1290"/>
      <c r="P98" s="1290"/>
      <c r="Q98" s="1290"/>
      <c r="R98" s="1290"/>
      <c r="S98" s="1290"/>
      <c r="T98" s="1290"/>
      <c r="U98" s="1290"/>
      <c r="V98" s="1290"/>
      <c r="W98" s="1290"/>
      <c r="X98" s="1290"/>
      <c r="Y98" s="1290"/>
      <c r="Z98" s="1290"/>
      <c r="AA98" s="1290"/>
      <c r="AB98" s="1290"/>
      <c r="AC98" s="1290"/>
      <c r="AD98" s="1290"/>
      <c r="AE98" s="1290"/>
      <c r="AF98" s="1290"/>
      <c r="AG98" s="1290"/>
    </row>
    <row r="99" spans="1:33" s="1291" customFormat="1" ht="24" customHeight="1">
      <c r="A99" s="1411"/>
      <c r="B99" s="1411"/>
      <c r="C99" s="1287"/>
      <c r="D99" s="1294" t="s">
        <v>192</v>
      </c>
      <c r="E99" s="1329"/>
      <c r="F99" s="1329"/>
      <c r="G99" s="1329"/>
      <c r="H99" s="1329"/>
      <c r="I99" s="1329"/>
      <c r="J99" s="1289"/>
      <c r="K99" s="1290"/>
      <c r="L99" s="1290"/>
      <c r="M99" s="1290"/>
      <c r="N99" s="1290"/>
      <c r="O99" s="1290"/>
      <c r="P99" s="1290"/>
      <c r="Q99" s="1290"/>
      <c r="R99" s="1290"/>
      <c r="S99" s="1290"/>
      <c r="T99" s="1290"/>
      <c r="U99" s="1290"/>
      <c r="V99" s="1290"/>
      <c r="W99" s="1290"/>
      <c r="X99" s="1290"/>
      <c r="Y99" s="1290"/>
      <c r="Z99" s="1290"/>
      <c r="AA99" s="1290"/>
      <c r="AB99" s="1290"/>
      <c r="AC99" s="1290"/>
      <c r="AD99" s="1290"/>
      <c r="AE99" s="1290"/>
      <c r="AF99" s="1290"/>
      <c r="AG99" s="1290"/>
    </row>
    <row r="100" spans="1:33" s="1291" customFormat="1" ht="24" customHeight="1">
      <c r="A100" s="1411"/>
      <c r="B100" s="1411"/>
      <c r="C100" s="1287"/>
      <c r="D100" s="1294" t="s">
        <v>189</v>
      </c>
      <c r="E100" s="1329"/>
      <c r="F100" s="1329"/>
      <c r="G100" s="1329"/>
      <c r="H100" s="1329"/>
      <c r="I100" s="1329"/>
      <c r="J100" s="1289" t="s">
        <v>526</v>
      </c>
      <c r="K100" s="1290"/>
      <c r="L100" s="1290"/>
      <c r="M100" s="1290"/>
      <c r="N100" s="1290"/>
      <c r="O100" s="1290"/>
      <c r="P100" s="1290"/>
      <c r="Q100" s="1290"/>
      <c r="R100" s="1290"/>
      <c r="S100" s="1290"/>
      <c r="T100" s="1290"/>
      <c r="U100" s="1290"/>
      <c r="V100" s="1290"/>
      <c r="W100" s="1290"/>
      <c r="X100" s="1290"/>
      <c r="Y100" s="1290"/>
      <c r="Z100" s="1290"/>
      <c r="AA100" s="1290"/>
      <c r="AB100" s="1290"/>
      <c r="AC100" s="1290"/>
      <c r="AD100" s="1290"/>
      <c r="AE100" s="1290"/>
      <c r="AF100" s="1290"/>
      <c r="AG100" s="1290"/>
    </row>
    <row r="101" spans="1:33" s="1281" customFormat="1" ht="45.75" customHeight="1">
      <c r="A101" s="1411"/>
      <c r="B101" s="1411"/>
      <c r="C101" s="1292">
        <v>6</v>
      </c>
      <c r="D101" s="1315" t="s">
        <v>1000</v>
      </c>
      <c r="E101" s="1285">
        <v>2700</v>
      </c>
      <c r="F101" s="1330">
        <v>1867</v>
      </c>
      <c r="G101" s="1286">
        <v>1245</v>
      </c>
      <c r="H101" s="1286"/>
      <c r="I101" s="1286"/>
      <c r="J101" s="1279"/>
      <c r="K101" s="1280"/>
      <c r="L101" s="1280"/>
      <c r="M101" s="1280"/>
      <c r="N101" s="1280"/>
      <c r="O101" s="1280"/>
      <c r="P101" s="1280"/>
      <c r="Q101" s="1280"/>
      <c r="R101" s="1280"/>
      <c r="S101" s="1280"/>
      <c r="T101" s="1280"/>
      <c r="U101" s="1280"/>
      <c r="V101" s="1280"/>
      <c r="W101" s="1280"/>
      <c r="X101" s="1280"/>
      <c r="Y101" s="1280"/>
      <c r="Z101" s="1280"/>
      <c r="AA101" s="1280"/>
      <c r="AB101" s="1280"/>
      <c r="AC101" s="1280"/>
      <c r="AD101" s="1280"/>
      <c r="AE101" s="1280"/>
      <c r="AF101" s="1280"/>
      <c r="AG101" s="1280"/>
    </row>
    <row r="102" spans="1:33" s="1291" customFormat="1" ht="24" customHeight="1">
      <c r="A102" s="1411"/>
      <c r="B102" s="1411"/>
      <c r="C102" s="1287"/>
      <c r="D102" s="1288" t="s">
        <v>706</v>
      </c>
      <c r="E102" s="1329"/>
      <c r="F102" s="1329"/>
      <c r="G102" s="1329"/>
      <c r="H102" s="1329"/>
      <c r="I102" s="1329"/>
      <c r="J102" s="1289"/>
      <c r="K102" s="1290"/>
      <c r="L102" s="1290"/>
      <c r="M102" s="1290"/>
      <c r="N102" s="1290"/>
      <c r="O102" s="1290"/>
      <c r="P102" s="1290"/>
      <c r="Q102" s="1290"/>
      <c r="R102" s="1290"/>
      <c r="S102" s="1290"/>
      <c r="T102" s="1290"/>
      <c r="U102" s="1290"/>
      <c r="V102" s="1290"/>
      <c r="W102" s="1290"/>
      <c r="X102" s="1290"/>
      <c r="Y102" s="1290"/>
      <c r="Z102" s="1290"/>
      <c r="AA102" s="1290"/>
      <c r="AB102" s="1290"/>
      <c r="AC102" s="1290"/>
      <c r="AD102" s="1290"/>
      <c r="AE102" s="1290"/>
      <c r="AF102" s="1290"/>
      <c r="AG102" s="1290"/>
    </row>
    <row r="103" spans="1:33" s="1291" customFormat="1" ht="24" customHeight="1">
      <c r="A103" s="1411"/>
      <c r="B103" s="1411"/>
      <c r="C103" s="1287"/>
      <c r="D103" s="1294" t="s">
        <v>193</v>
      </c>
      <c r="E103" s="1329"/>
      <c r="F103" s="1329"/>
      <c r="G103" s="1329"/>
      <c r="H103" s="1329"/>
      <c r="I103" s="1329"/>
      <c r="J103" s="1289"/>
      <c r="K103" s="1290"/>
      <c r="L103" s="1290"/>
      <c r="M103" s="1290"/>
      <c r="N103" s="1290"/>
      <c r="O103" s="1290"/>
      <c r="P103" s="1290"/>
      <c r="Q103" s="1290"/>
      <c r="R103" s="1290"/>
      <c r="S103" s="1290"/>
      <c r="T103" s="1290"/>
      <c r="U103" s="1290"/>
      <c r="V103" s="1290"/>
      <c r="W103" s="1290"/>
      <c r="X103" s="1290"/>
      <c r="Y103" s="1290"/>
      <c r="Z103" s="1290"/>
      <c r="AA103" s="1290"/>
      <c r="AB103" s="1290"/>
      <c r="AC103" s="1290"/>
      <c r="AD103" s="1290"/>
      <c r="AE103" s="1290"/>
      <c r="AF103" s="1290"/>
      <c r="AG103" s="1290"/>
    </row>
    <row r="104" spans="1:10" s="1268" customFormat="1" ht="41.25" customHeight="1">
      <c r="A104" s="1304"/>
      <c r="B104" s="1298">
        <v>80110</v>
      </c>
      <c r="C104" s="1271"/>
      <c r="D104" s="1299" t="s">
        <v>43</v>
      </c>
      <c r="E104" s="1300"/>
      <c r="F104" s="1301">
        <f>F105+F109+F112+F116+F119</f>
        <v>75022</v>
      </c>
      <c r="G104" s="1301">
        <f>G105+G109+G112+G116+G119</f>
        <v>47148</v>
      </c>
      <c r="H104" s="1301">
        <f>H105+H109+H112+H116+H119</f>
        <v>0</v>
      </c>
      <c r="I104" s="1301">
        <f>I105+I109+I112+I116+I119</f>
        <v>0</v>
      </c>
      <c r="J104" s="1267"/>
    </row>
    <row r="105" spans="1:33" s="1291" customFormat="1" ht="41.25" customHeight="1">
      <c r="A105" s="1411"/>
      <c r="B105" s="1411"/>
      <c r="C105" s="1287">
        <v>1</v>
      </c>
      <c r="D105" s="1284" t="s">
        <v>276</v>
      </c>
      <c r="E105" s="1325" t="s">
        <v>182</v>
      </c>
      <c r="F105" s="1326">
        <f>5852+61450</f>
        <v>67302</v>
      </c>
      <c r="G105" s="1327">
        <f>4898+30250</f>
        <v>35148</v>
      </c>
      <c r="H105" s="1327"/>
      <c r="I105" s="1327"/>
      <c r="J105" s="1289"/>
      <c r="K105" s="1290"/>
      <c r="L105" s="1290"/>
      <c r="M105" s="1290"/>
      <c r="N105" s="1290"/>
      <c r="O105" s="1290"/>
      <c r="P105" s="1290"/>
      <c r="Q105" s="1290"/>
      <c r="R105" s="1290"/>
      <c r="S105" s="1290"/>
      <c r="T105" s="1290"/>
      <c r="U105" s="1290"/>
      <c r="V105" s="1290"/>
      <c r="W105" s="1290"/>
      <c r="X105" s="1290"/>
      <c r="Y105" s="1290"/>
      <c r="Z105" s="1290"/>
      <c r="AA105" s="1290"/>
      <c r="AB105" s="1290"/>
      <c r="AC105" s="1290"/>
      <c r="AD105" s="1290"/>
      <c r="AE105" s="1290"/>
      <c r="AF105" s="1290"/>
      <c r="AG105" s="1290"/>
    </row>
    <row r="106" spans="1:33" s="1291" customFormat="1" ht="19.5" customHeight="1">
      <c r="A106" s="1411"/>
      <c r="B106" s="1411"/>
      <c r="C106" s="1287"/>
      <c r="D106" s="1288" t="s">
        <v>706</v>
      </c>
      <c r="E106" s="1329"/>
      <c r="F106" s="1329"/>
      <c r="G106" s="1329"/>
      <c r="H106" s="1329"/>
      <c r="I106" s="1329"/>
      <c r="J106" s="1289"/>
      <c r="K106" s="1290"/>
      <c r="L106" s="1290"/>
      <c r="M106" s="1290"/>
      <c r="N106" s="1290"/>
      <c r="O106" s="1290"/>
      <c r="P106" s="1290"/>
      <c r="Q106" s="1290"/>
      <c r="R106" s="1290"/>
      <c r="S106" s="1290"/>
      <c r="T106" s="1290"/>
      <c r="U106" s="1290"/>
      <c r="V106" s="1290"/>
      <c r="W106" s="1290"/>
      <c r="X106" s="1290"/>
      <c r="Y106" s="1290"/>
      <c r="Z106" s="1290"/>
      <c r="AA106" s="1290"/>
      <c r="AB106" s="1290"/>
      <c r="AC106" s="1290"/>
      <c r="AD106" s="1290"/>
      <c r="AE106" s="1290"/>
      <c r="AF106" s="1290"/>
      <c r="AG106" s="1290"/>
    </row>
    <row r="107" spans="1:33" s="1291" customFormat="1" ht="30" customHeight="1">
      <c r="A107" s="1411"/>
      <c r="B107" s="1411"/>
      <c r="C107" s="1287"/>
      <c r="D107" s="1294" t="s">
        <v>1009</v>
      </c>
      <c r="E107" s="1329"/>
      <c r="F107" s="1329"/>
      <c r="G107" s="1329"/>
      <c r="H107" s="1329"/>
      <c r="I107" s="1329"/>
      <c r="J107" s="1289" t="s">
        <v>526</v>
      </c>
      <c r="K107" s="1290"/>
      <c r="L107" s="1290"/>
      <c r="M107" s="1290"/>
      <c r="N107" s="1290"/>
      <c r="O107" s="1290"/>
      <c r="P107" s="1290"/>
      <c r="Q107" s="1290"/>
      <c r="R107" s="1290"/>
      <c r="S107" s="1290"/>
      <c r="T107" s="1290"/>
      <c r="U107" s="1290"/>
      <c r="V107" s="1290"/>
      <c r="W107" s="1290"/>
      <c r="X107" s="1290"/>
      <c r="Y107" s="1290"/>
      <c r="Z107" s="1290"/>
      <c r="AA107" s="1290"/>
      <c r="AB107" s="1290"/>
      <c r="AC107" s="1290"/>
      <c r="AD107" s="1290"/>
      <c r="AE107" s="1290"/>
      <c r="AF107" s="1290"/>
      <c r="AG107" s="1290"/>
    </row>
    <row r="108" spans="1:33" s="1291" customFormat="1" ht="30" customHeight="1">
      <c r="A108" s="1411"/>
      <c r="B108" s="1411"/>
      <c r="C108" s="1287"/>
      <c r="D108" s="1294" t="s">
        <v>1005</v>
      </c>
      <c r="E108" s="1329"/>
      <c r="F108" s="1329"/>
      <c r="G108" s="1329"/>
      <c r="H108" s="1329"/>
      <c r="I108" s="1329"/>
      <c r="J108" s="1289" t="s">
        <v>526</v>
      </c>
      <c r="K108" s="1290"/>
      <c r="L108" s="1290"/>
      <c r="M108" s="1290"/>
      <c r="N108" s="1290"/>
      <c r="O108" s="1290"/>
      <c r="P108" s="1290"/>
      <c r="Q108" s="1290"/>
      <c r="R108" s="1290"/>
      <c r="S108" s="1290"/>
      <c r="T108" s="1290"/>
      <c r="U108" s="1290"/>
      <c r="V108" s="1290"/>
      <c r="W108" s="1290"/>
      <c r="X108" s="1290"/>
      <c r="Y108" s="1290"/>
      <c r="Z108" s="1290"/>
      <c r="AA108" s="1290"/>
      <c r="AB108" s="1290"/>
      <c r="AC108" s="1290"/>
      <c r="AD108" s="1290"/>
      <c r="AE108" s="1290"/>
      <c r="AF108" s="1290"/>
      <c r="AG108" s="1290"/>
    </row>
    <row r="109" spans="1:33" s="1291" customFormat="1" ht="30" customHeight="1">
      <c r="A109" s="1411"/>
      <c r="B109" s="1411"/>
      <c r="C109" s="1292">
        <v>2</v>
      </c>
      <c r="D109" s="1284" t="s">
        <v>279</v>
      </c>
      <c r="E109" s="1285" t="s">
        <v>280</v>
      </c>
      <c r="F109" s="1330">
        <f>2890</f>
        <v>2890</v>
      </c>
      <c r="G109" s="1286">
        <f>2700</f>
        <v>2700</v>
      </c>
      <c r="H109" s="1286"/>
      <c r="I109" s="1286"/>
      <c r="J109" s="1289"/>
      <c r="K109" s="1290"/>
      <c r="L109" s="1290"/>
      <c r="M109" s="1290"/>
      <c r="N109" s="1290"/>
      <c r="O109" s="1290"/>
      <c r="P109" s="1290"/>
      <c r="Q109" s="1290"/>
      <c r="R109" s="1290"/>
      <c r="S109" s="1290"/>
      <c r="T109" s="1290"/>
      <c r="U109" s="1290"/>
      <c r="V109" s="1290"/>
      <c r="W109" s="1290"/>
      <c r="X109" s="1290"/>
      <c r="Y109" s="1290"/>
      <c r="Z109" s="1290"/>
      <c r="AA109" s="1290"/>
      <c r="AB109" s="1290"/>
      <c r="AC109" s="1290"/>
      <c r="AD109" s="1290"/>
      <c r="AE109" s="1290"/>
      <c r="AF109" s="1290"/>
      <c r="AG109" s="1290"/>
    </row>
    <row r="110" spans="1:33" s="1291" customFormat="1" ht="19.5" customHeight="1">
      <c r="A110" s="1411"/>
      <c r="B110" s="1411"/>
      <c r="C110" s="1287"/>
      <c r="D110" s="1288" t="s">
        <v>706</v>
      </c>
      <c r="E110" s="1329"/>
      <c r="F110" s="1329"/>
      <c r="G110" s="1329"/>
      <c r="H110" s="1329"/>
      <c r="I110" s="1329"/>
      <c r="J110" s="1289"/>
      <c r="K110" s="1290"/>
      <c r="L110" s="1290"/>
      <c r="M110" s="1290"/>
      <c r="N110" s="1290"/>
      <c r="O110" s="1290"/>
      <c r="P110" s="1290"/>
      <c r="Q110" s="1290"/>
      <c r="R110" s="1290"/>
      <c r="S110" s="1290"/>
      <c r="T110" s="1290"/>
      <c r="U110" s="1290"/>
      <c r="V110" s="1290"/>
      <c r="W110" s="1290"/>
      <c r="X110" s="1290"/>
      <c r="Y110" s="1290"/>
      <c r="Z110" s="1290"/>
      <c r="AA110" s="1290"/>
      <c r="AB110" s="1290"/>
      <c r="AC110" s="1290"/>
      <c r="AD110" s="1290"/>
      <c r="AE110" s="1290"/>
      <c r="AF110" s="1290"/>
      <c r="AG110" s="1290"/>
    </row>
    <row r="111" spans="1:33" s="1291" customFormat="1" ht="30" customHeight="1">
      <c r="A111" s="1411"/>
      <c r="B111" s="1411"/>
      <c r="C111" s="1287"/>
      <c r="D111" s="1294" t="s">
        <v>1006</v>
      </c>
      <c r="E111" s="1329"/>
      <c r="F111" s="1329"/>
      <c r="G111" s="1329"/>
      <c r="H111" s="1329"/>
      <c r="I111" s="1329"/>
      <c r="J111" s="1289" t="s">
        <v>526</v>
      </c>
      <c r="K111" s="1290"/>
      <c r="L111" s="1290"/>
      <c r="M111" s="1290"/>
      <c r="N111" s="1290"/>
      <c r="O111" s="1290"/>
      <c r="P111" s="1290"/>
      <c r="Q111" s="1290"/>
      <c r="R111" s="1290"/>
      <c r="S111" s="1290"/>
      <c r="T111" s="1290"/>
      <c r="U111" s="1290"/>
      <c r="V111" s="1290"/>
      <c r="W111" s="1290"/>
      <c r="X111" s="1290"/>
      <c r="Y111" s="1290"/>
      <c r="Z111" s="1290"/>
      <c r="AA111" s="1290"/>
      <c r="AB111" s="1290"/>
      <c r="AC111" s="1290"/>
      <c r="AD111" s="1290"/>
      <c r="AE111" s="1290"/>
      <c r="AF111" s="1290"/>
      <c r="AG111" s="1290"/>
    </row>
    <row r="112" spans="1:33" s="1338" customFormat="1" ht="30" customHeight="1">
      <c r="A112" s="1418"/>
      <c r="B112" s="1418"/>
      <c r="C112" s="1331">
        <v>3</v>
      </c>
      <c r="D112" s="1332" t="s">
        <v>285</v>
      </c>
      <c r="E112" s="1333" t="s">
        <v>209</v>
      </c>
      <c r="F112" s="1330">
        <f>130+400</f>
        <v>530</v>
      </c>
      <c r="G112" s="1334">
        <f>150+350</f>
        <v>500</v>
      </c>
      <c r="H112" s="1335"/>
      <c r="I112" s="1335"/>
      <c r="J112" s="1336"/>
      <c r="K112" s="1337"/>
      <c r="L112" s="1337"/>
      <c r="M112" s="1337"/>
      <c r="N112" s="1337"/>
      <c r="O112" s="1337"/>
      <c r="P112" s="1337"/>
      <c r="Q112" s="1337"/>
      <c r="R112" s="1337"/>
      <c r="S112" s="1337"/>
      <c r="T112" s="1337"/>
      <c r="U112" s="1337"/>
      <c r="V112" s="1337"/>
      <c r="W112" s="1337"/>
      <c r="X112" s="1337"/>
      <c r="Y112" s="1337"/>
      <c r="Z112" s="1337"/>
      <c r="AA112" s="1337"/>
      <c r="AB112" s="1337"/>
      <c r="AC112" s="1337"/>
      <c r="AD112" s="1337"/>
      <c r="AE112" s="1337"/>
      <c r="AF112" s="1337"/>
      <c r="AG112" s="1337"/>
    </row>
    <row r="113" spans="1:33" s="1291" customFormat="1" ht="19.5" customHeight="1">
      <c r="A113" s="1411"/>
      <c r="B113" s="1411"/>
      <c r="C113" s="1287"/>
      <c r="D113" s="1288" t="s">
        <v>706</v>
      </c>
      <c r="E113" s="1329"/>
      <c r="F113" s="1329"/>
      <c r="G113" s="1329"/>
      <c r="H113" s="1329"/>
      <c r="I113" s="1329"/>
      <c r="J113" s="1289"/>
      <c r="K113" s="1290"/>
      <c r="L113" s="1290"/>
      <c r="M113" s="1290"/>
      <c r="N113" s="1290"/>
      <c r="O113" s="1290"/>
      <c r="P113" s="1290"/>
      <c r="Q113" s="1290"/>
      <c r="R113" s="1290"/>
      <c r="S113" s="1290"/>
      <c r="T113" s="1290"/>
      <c r="U113" s="1290"/>
      <c r="V113" s="1290"/>
      <c r="W113" s="1290"/>
      <c r="X113" s="1290"/>
      <c r="Y113" s="1290"/>
      <c r="Z113" s="1290"/>
      <c r="AA113" s="1290"/>
      <c r="AB113" s="1290"/>
      <c r="AC113" s="1290"/>
      <c r="AD113" s="1290"/>
      <c r="AE113" s="1290"/>
      <c r="AF113" s="1290"/>
      <c r="AG113" s="1290"/>
    </row>
    <row r="114" spans="1:33" s="1291" customFormat="1" ht="30" customHeight="1">
      <c r="A114" s="1411"/>
      <c r="B114" s="1411"/>
      <c r="C114" s="1287"/>
      <c r="D114" s="1294" t="s">
        <v>1010</v>
      </c>
      <c r="E114" s="1329"/>
      <c r="F114" s="1329"/>
      <c r="G114" s="1329"/>
      <c r="H114" s="1329"/>
      <c r="I114" s="1329"/>
      <c r="J114" s="1289" t="s">
        <v>526</v>
      </c>
      <c r="K114" s="1290"/>
      <c r="L114" s="1290"/>
      <c r="M114" s="1290"/>
      <c r="N114" s="1290"/>
      <c r="O114" s="1290"/>
      <c r="P114" s="1290"/>
      <c r="Q114" s="1290"/>
      <c r="R114" s="1290"/>
      <c r="S114" s="1290"/>
      <c r="T114" s="1290"/>
      <c r="U114" s="1290"/>
      <c r="V114" s="1290"/>
      <c r="W114" s="1290"/>
      <c r="X114" s="1290"/>
      <c r="Y114" s="1290"/>
      <c r="Z114" s="1290"/>
      <c r="AA114" s="1290"/>
      <c r="AB114" s="1290"/>
      <c r="AC114" s="1290"/>
      <c r="AD114" s="1290"/>
      <c r="AE114" s="1290"/>
      <c r="AF114" s="1290"/>
      <c r="AG114" s="1290"/>
    </row>
    <row r="115" spans="1:33" s="1291" customFormat="1" ht="30" customHeight="1">
      <c r="A115" s="1411"/>
      <c r="B115" s="1411"/>
      <c r="C115" s="1287"/>
      <c r="D115" s="1294" t="s">
        <v>1007</v>
      </c>
      <c r="E115" s="1329"/>
      <c r="F115" s="1329"/>
      <c r="G115" s="1329"/>
      <c r="H115" s="1329"/>
      <c r="I115" s="1329"/>
      <c r="J115" s="1289" t="s">
        <v>526</v>
      </c>
      <c r="K115" s="1290"/>
      <c r="L115" s="1290"/>
      <c r="M115" s="1290"/>
      <c r="N115" s="1290"/>
      <c r="O115" s="1290"/>
      <c r="P115" s="1290"/>
      <c r="Q115" s="1290"/>
      <c r="R115" s="1290"/>
      <c r="S115" s="1290"/>
      <c r="T115" s="1290"/>
      <c r="U115" s="1290"/>
      <c r="V115" s="1290"/>
      <c r="W115" s="1290"/>
      <c r="X115" s="1290"/>
      <c r="Y115" s="1290"/>
      <c r="Z115" s="1290"/>
      <c r="AA115" s="1290"/>
      <c r="AB115" s="1290"/>
      <c r="AC115" s="1290"/>
      <c r="AD115" s="1290"/>
      <c r="AE115" s="1290"/>
      <c r="AF115" s="1290"/>
      <c r="AG115" s="1290"/>
    </row>
    <row r="116" spans="1:33" s="1291" customFormat="1" ht="30" customHeight="1">
      <c r="A116" s="1411"/>
      <c r="B116" s="1411"/>
      <c r="C116" s="1292">
        <v>4</v>
      </c>
      <c r="D116" s="1315" t="s">
        <v>286</v>
      </c>
      <c r="E116" s="1285" t="s">
        <v>287</v>
      </c>
      <c r="F116" s="1330">
        <v>1000</v>
      </c>
      <c r="G116" s="1286">
        <f>800</f>
        <v>800</v>
      </c>
      <c r="H116" s="1286"/>
      <c r="I116" s="1286"/>
      <c r="J116" s="1289"/>
      <c r="K116" s="1290"/>
      <c r="L116" s="1290"/>
      <c r="M116" s="1290"/>
      <c r="N116" s="1290"/>
      <c r="O116" s="1290"/>
      <c r="P116" s="1290"/>
      <c r="Q116" s="1290"/>
      <c r="R116" s="1290"/>
      <c r="S116" s="1290"/>
      <c r="T116" s="1290"/>
      <c r="U116" s="1290"/>
      <c r="V116" s="1290"/>
      <c r="W116" s="1290"/>
      <c r="X116" s="1290"/>
      <c r="Y116" s="1290"/>
      <c r="Z116" s="1290"/>
      <c r="AA116" s="1290"/>
      <c r="AB116" s="1290"/>
      <c r="AC116" s="1290"/>
      <c r="AD116" s="1290"/>
      <c r="AE116" s="1290"/>
      <c r="AF116" s="1290"/>
      <c r="AG116" s="1290"/>
    </row>
    <row r="117" spans="1:33" s="1291" customFormat="1" ht="19.5" customHeight="1">
      <c r="A117" s="1411"/>
      <c r="B117" s="1411"/>
      <c r="C117" s="1287"/>
      <c r="D117" s="1288" t="s">
        <v>706</v>
      </c>
      <c r="E117" s="1329"/>
      <c r="F117" s="1329"/>
      <c r="G117" s="1329"/>
      <c r="H117" s="1329"/>
      <c r="I117" s="1329"/>
      <c r="J117" s="1289"/>
      <c r="K117" s="1290"/>
      <c r="L117" s="1290"/>
      <c r="M117" s="1290"/>
      <c r="N117" s="1290"/>
      <c r="O117" s="1290"/>
      <c r="P117" s="1290"/>
      <c r="Q117" s="1290"/>
      <c r="R117" s="1290"/>
      <c r="S117" s="1290"/>
      <c r="T117" s="1290"/>
      <c r="U117" s="1290"/>
      <c r="V117" s="1290"/>
      <c r="W117" s="1290"/>
      <c r="X117" s="1290"/>
      <c r="Y117" s="1290"/>
      <c r="Z117" s="1290"/>
      <c r="AA117" s="1290"/>
      <c r="AB117" s="1290"/>
      <c r="AC117" s="1290"/>
      <c r="AD117" s="1290"/>
      <c r="AE117" s="1290"/>
      <c r="AF117" s="1290"/>
      <c r="AG117" s="1290"/>
    </row>
    <row r="118" spans="1:33" s="1291" customFormat="1" ht="30" customHeight="1">
      <c r="A118" s="1411"/>
      <c r="B118" s="1411"/>
      <c r="C118" s="1287"/>
      <c r="D118" s="1294" t="s">
        <v>1011</v>
      </c>
      <c r="E118" s="1329"/>
      <c r="F118" s="1329"/>
      <c r="G118" s="1329"/>
      <c r="H118" s="1329"/>
      <c r="I118" s="1329"/>
      <c r="J118" s="1289" t="s">
        <v>526</v>
      </c>
      <c r="K118" s="1290"/>
      <c r="L118" s="1290"/>
      <c r="M118" s="1290"/>
      <c r="N118" s="1290"/>
      <c r="O118" s="1290"/>
      <c r="P118" s="1290"/>
      <c r="Q118" s="1290"/>
      <c r="R118" s="1290"/>
      <c r="S118" s="1290"/>
      <c r="T118" s="1290"/>
      <c r="U118" s="1290"/>
      <c r="V118" s="1290"/>
      <c r="W118" s="1290"/>
      <c r="X118" s="1290"/>
      <c r="Y118" s="1290"/>
      <c r="Z118" s="1290"/>
      <c r="AA118" s="1290"/>
      <c r="AB118" s="1290"/>
      <c r="AC118" s="1290"/>
      <c r="AD118" s="1290"/>
      <c r="AE118" s="1290"/>
      <c r="AF118" s="1290"/>
      <c r="AG118" s="1290"/>
    </row>
    <row r="119" spans="1:33" s="1291" customFormat="1" ht="30" customHeight="1">
      <c r="A119" s="1411"/>
      <c r="B119" s="1411"/>
      <c r="C119" s="1292">
        <v>5</v>
      </c>
      <c r="D119" s="1315" t="s">
        <v>283</v>
      </c>
      <c r="E119" s="1285" t="s">
        <v>284</v>
      </c>
      <c r="F119" s="1330">
        <f>3300</f>
        <v>3300</v>
      </c>
      <c r="G119" s="1286">
        <f>8000</f>
        <v>8000</v>
      </c>
      <c r="H119" s="1286"/>
      <c r="I119" s="1286"/>
      <c r="J119" s="1289"/>
      <c r="K119" s="1290"/>
      <c r="L119" s="1290"/>
      <c r="M119" s="1290"/>
      <c r="N119" s="1290"/>
      <c r="O119" s="1290"/>
      <c r="P119" s="1290"/>
      <c r="Q119" s="1290"/>
      <c r="R119" s="1290"/>
      <c r="S119" s="1290"/>
      <c r="T119" s="1290"/>
      <c r="U119" s="1290"/>
      <c r="V119" s="1290"/>
      <c r="W119" s="1290"/>
      <c r="X119" s="1290"/>
      <c r="Y119" s="1290"/>
      <c r="Z119" s="1290"/>
      <c r="AA119" s="1290"/>
      <c r="AB119" s="1290"/>
      <c r="AC119" s="1290"/>
      <c r="AD119" s="1290"/>
      <c r="AE119" s="1290"/>
      <c r="AF119" s="1290"/>
      <c r="AG119" s="1290"/>
    </row>
    <row r="120" spans="1:33" s="1291" customFormat="1" ht="19.5" customHeight="1">
      <c r="A120" s="1411"/>
      <c r="B120" s="1411"/>
      <c r="C120" s="1287"/>
      <c r="D120" s="1288" t="s">
        <v>706</v>
      </c>
      <c r="E120" s="1329"/>
      <c r="F120" s="1329"/>
      <c r="G120" s="1329"/>
      <c r="H120" s="1329"/>
      <c r="I120" s="1329"/>
      <c r="J120" s="1289"/>
      <c r="K120" s="1290"/>
      <c r="L120" s="1290"/>
      <c r="M120" s="1290"/>
      <c r="N120" s="1290"/>
      <c r="O120" s="1290"/>
      <c r="P120" s="1290"/>
      <c r="Q120" s="1290"/>
      <c r="R120" s="1290"/>
      <c r="S120" s="1290"/>
      <c r="T120" s="1290"/>
      <c r="U120" s="1290"/>
      <c r="V120" s="1290"/>
      <c r="W120" s="1290"/>
      <c r="X120" s="1290"/>
      <c r="Y120" s="1290"/>
      <c r="Z120" s="1290"/>
      <c r="AA120" s="1290"/>
      <c r="AB120" s="1290"/>
      <c r="AC120" s="1290"/>
      <c r="AD120" s="1290"/>
      <c r="AE120" s="1290"/>
      <c r="AF120" s="1290"/>
      <c r="AG120" s="1290"/>
    </row>
    <row r="121" spans="1:33" s="1291" customFormat="1" ht="30" customHeight="1">
      <c r="A121" s="1411"/>
      <c r="B121" s="1411"/>
      <c r="C121" s="1287"/>
      <c r="D121" s="1294" t="s">
        <v>1012</v>
      </c>
      <c r="E121" s="1329"/>
      <c r="F121" s="1329"/>
      <c r="G121" s="1329"/>
      <c r="H121" s="1329"/>
      <c r="I121" s="1329"/>
      <c r="J121" s="1289" t="s">
        <v>526</v>
      </c>
      <c r="K121" s="1290"/>
      <c r="L121" s="1290"/>
      <c r="M121" s="1290"/>
      <c r="N121" s="1290"/>
      <c r="O121" s="1290"/>
      <c r="P121" s="1290"/>
      <c r="Q121" s="1290"/>
      <c r="R121" s="1290"/>
      <c r="S121" s="1290"/>
      <c r="T121" s="1290"/>
      <c r="U121" s="1290"/>
      <c r="V121" s="1290"/>
      <c r="W121" s="1290"/>
      <c r="X121" s="1290"/>
      <c r="Y121" s="1290"/>
      <c r="Z121" s="1290"/>
      <c r="AA121" s="1290"/>
      <c r="AB121" s="1290"/>
      <c r="AC121" s="1290"/>
      <c r="AD121" s="1290"/>
      <c r="AE121" s="1290"/>
      <c r="AF121" s="1290"/>
      <c r="AG121" s="1290"/>
    </row>
    <row r="122" spans="1:245" s="1268" customFormat="1" ht="42" customHeight="1">
      <c r="A122" s="1262">
        <v>9</v>
      </c>
      <c r="B122" s="1262">
        <v>852</v>
      </c>
      <c r="C122" s="1263"/>
      <c r="D122" s="1282" t="s">
        <v>35</v>
      </c>
      <c r="E122" s="1265"/>
      <c r="F122" s="1266">
        <f>F123+F127+F131+F134+F139+F142</f>
        <v>6478528</v>
      </c>
      <c r="G122" s="1266">
        <f>G123+G127+G131+G134+G139+G142</f>
        <v>7076550</v>
      </c>
      <c r="H122" s="1266">
        <f>H123+H127+H131+H134+H139+H142</f>
        <v>6424000</v>
      </c>
      <c r="I122" s="1266">
        <f>I123+I127+I131+I134+I139+I142</f>
        <v>0</v>
      </c>
      <c r="J122" s="1296"/>
      <c r="K122" s="1297"/>
      <c r="L122" s="1297"/>
      <c r="M122" s="1297"/>
      <c r="N122" s="1297"/>
      <c r="O122" s="1297"/>
      <c r="P122" s="1297"/>
      <c r="Q122" s="1297"/>
      <c r="R122" s="1297"/>
      <c r="S122" s="1297"/>
      <c r="T122" s="1297"/>
      <c r="U122" s="1297"/>
      <c r="V122" s="1297"/>
      <c r="W122" s="1297"/>
      <c r="X122" s="1297"/>
      <c r="Y122" s="1297"/>
      <c r="Z122" s="1297"/>
      <c r="AA122" s="1297"/>
      <c r="AB122" s="1297"/>
      <c r="AC122" s="1297"/>
      <c r="AD122" s="1297"/>
      <c r="AE122" s="1297"/>
      <c r="AF122" s="1297"/>
      <c r="AG122" s="1297"/>
      <c r="AH122" s="1297"/>
      <c r="AI122" s="1297"/>
      <c r="AJ122" s="1297"/>
      <c r="AK122" s="1297"/>
      <c r="AL122" s="1297"/>
      <c r="AM122" s="1297"/>
      <c r="AN122" s="1297"/>
      <c r="AO122" s="1297"/>
      <c r="AP122" s="1297"/>
      <c r="AQ122" s="1297"/>
      <c r="AR122" s="1297"/>
      <c r="AS122" s="1297"/>
      <c r="AT122" s="1297"/>
      <c r="AU122" s="1297"/>
      <c r="AV122" s="1297"/>
      <c r="AW122" s="1297"/>
      <c r="AX122" s="1297"/>
      <c r="AY122" s="1297"/>
      <c r="AZ122" s="1297"/>
      <c r="BA122" s="1297"/>
      <c r="BB122" s="1297"/>
      <c r="BC122" s="1297"/>
      <c r="BD122" s="1297"/>
      <c r="BE122" s="1297"/>
      <c r="BF122" s="1297"/>
      <c r="BG122" s="1297"/>
      <c r="BH122" s="1297"/>
      <c r="BI122" s="1297"/>
      <c r="BJ122" s="1297"/>
      <c r="BK122" s="1297"/>
      <c r="BL122" s="1297"/>
      <c r="BM122" s="1297"/>
      <c r="BN122" s="1297"/>
      <c r="BO122" s="1297"/>
      <c r="BP122" s="1297"/>
      <c r="BQ122" s="1297"/>
      <c r="BR122" s="1297"/>
      <c r="BS122" s="1297"/>
      <c r="BT122" s="1297"/>
      <c r="BU122" s="1297"/>
      <c r="BV122" s="1297"/>
      <c r="BW122" s="1297"/>
      <c r="BX122" s="1297"/>
      <c r="BY122" s="1297"/>
      <c r="BZ122" s="1297"/>
      <c r="CA122" s="1297"/>
      <c r="CB122" s="1297"/>
      <c r="CC122" s="1297"/>
      <c r="CD122" s="1297"/>
      <c r="CE122" s="1297"/>
      <c r="CF122" s="1297"/>
      <c r="CG122" s="1297"/>
      <c r="CH122" s="1297"/>
      <c r="CI122" s="1297"/>
      <c r="CJ122" s="1297"/>
      <c r="CK122" s="1297"/>
      <c r="CL122" s="1297"/>
      <c r="CM122" s="1297"/>
      <c r="CN122" s="1297"/>
      <c r="CO122" s="1297"/>
      <c r="CP122" s="1297"/>
      <c r="CQ122" s="1297"/>
      <c r="CR122" s="1297"/>
      <c r="CS122" s="1297"/>
      <c r="CT122" s="1297"/>
      <c r="CU122" s="1297"/>
      <c r="CV122" s="1297"/>
      <c r="CW122" s="1297"/>
      <c r="CX122" s="1297"/>
      <c r="CY122" s="1297"/>
      <c r="CZ122" s="1297"/>
      <c r="DA122" s="1297"/>
      <c r="DB122" s="1297"/>
      <c r="DC122" s="1297"/>
      <c r="DD122" s="1297"/>
      <c r="DE122" s="1297"/>
      <c r="DF122" s="1297"/>
      <c r="DG122" s="1297"/>
      <c r="DH122" s="1297"/>
      <c r="DI122" s="1297"/>
      <c r="DJ122" s="1297"/>
      <c r="DK122" s="1297"/>
      <c r="DL122" s="1297"/>
      <c r="DM122" s="1297"/>
      <c r="DN122" s="1297"/>
      <c r="DO122" s="1297"/>
      <c r="DP122" s="1297"/>
      <c r="DQ122" s="1297"/>
      <c r="DR122" s="1297"/>
      <c r="DS122" s="1297"/>
      <c r="DT122" s="1297"/>
      <c r="DU122" s="1297"/>
      <c r="DV122" s="1297"/>
      <c r="DW122" s="1297"/>
      <c r="DX122" s="1297"/>
      <c r="DY122" s="1297"/>
      <c r="DZ122" s="1297"/>
      <c r="EA122" s="1297"/>
      <c r="EB122" s="1297"/>
      <c r="EC122" s="1297"/>
      <c r="ED122" s="1297"/>
      <c r="EE122" s="1297"/>
      <c r="EF122" s="1297"/>
      <c r="EG122" s="1297"/>
      <c r="EH122" s="1297"/>
      <c r="EI122" s="1297"/>
      <c r="EJ122" s="1297"/>
      <c r="EK122" s="1297"/>
      <c r="EL122" s="1297"/>
      <c r="EM122" s="1297"/>
      <c r="EN122" s="1297"/>
      <c r="EO122" s="1297"/>
      <c r="EP122" s="1297"/>
      <c r="EQ122" s="1297"/>
      <c r="ER122" s="1297"/>
      <c r="ES122" s="1297"/>
      <c r="ET122" s="1297"/>
      <c r="EU122" s="1297"/>
      <c r="EV122" s="1297"/>
      <c r="EW122" s="1297"/>
      <c r="EX122" s="1297"/>
      <c r="EY122" s="1297"/>
      <c r="EZ122" s="1297"/>
      <c r="FA122" s="1297"/>
      <c r="FB122" s="1297"/>
      <c r="FC122" s="1297"/>
      <c r="FD122" s="1297"/>
      <c r="FE122" s="1297"/>
      <c r="FF122" s="1297"/>
      <c r="FG122" s="1297"/>
      <c r="FH122" s="1297"/>
      <c r="FI122" s="1297"/>
      <c r="FJ122" s="1297"/>
      <c r="FK122" s="1297"/>
      <c r="FL122" s="1297"/>
      <c r="FM122" s="1297"/>
      <c r="FN122" s="1297"/>
      <c r="FO122" s="1297"/>
      <c r="FP122" s="1297"/>
      <c r="FQ122" s="1297"/>
      <c r="FR122" s="1297"/>
      <c r="FS122" s="1297"/>
      <c r="FT122" s="1297"/>
      <c r="FU122" s="1297"/>
      <c r="FV122" s="1297"/>
      <c r="FW122" s="1297"/>
      <c r="FX122" s="1297"/>
      <c r="FY122" s="1297"/>
      <c r="FZ122" s="1297"/>
      <c r="GA122" s="1297"/>
      <c r="GB122" s="1297"/>
      <c r="GC122" s="1297"/>
      <c r="GD122" s="1297"/>
      <c r="GE122" s="1297"/>
      <c r="GF122" s="1297"/>
      <c r="GG122" s="1297"/>
      <c r="GH122" s="1297"/>
      <c r="GI122" s="1297"/>
      <c r="GJ122" s="1297"/>
      <c r="GK122" s="1297"/>
      <c r="GL122" s="1297"/>
      <c r="GM122" s="1297"/>
      <c r="GN122" s="1297"/>
      <c r="GO122" s="1297"/>
      <c r="GP122" s="1297"/>
      <c r="GQ122" s="1297"/>
      <c r="GR122" s="1297"/>
      <c r="GS122" s="1297"/>
      <c r="GT122" s="1297"/>
      <c r="GU122" s="1297"/>
      <c r="GV122" s="1297"/>
      <c r="GW122" s="1297"/>
      <c r="GX122" s="1297"/>
      <c r="GY122" s="1297"/>
      <c r="GZ122" s="1297"/>
      <c r="HA122" s="1297"/>
      <c r="HB122" s="1297"/>
      <c r="HC122" s="1297"/>
      <c r="HD122" s="1297"/>
      <c r="HE122" s="1297"/>
      <c r="HF122" s="1297"/>
      <c r="HG122" s="1297"/>
      <c r="HH122" s="1297"/>
      <c r="HI122" s="1297"/>
      <c r="HJ122" s="1297"/>
      <c r="HK122" s="1297"/>
      <c r="HL122" s="1297"/>
      <c r="HM122" s="1297"/>
      <c r="HN122" s="1297"/>
      <c r="HO122" s="1297"/>
      <c r="HP122" s="1297"/>
      <c r="HQ122" s="1297"/>
      <c r="HR122" s="1297"/>
      <c r="HS122" s="1297"/>
      <c r="HT122" s="1297"/>
      <c r="HU122" s="1297"/>
      <c r="HV122" s="1297"/>
      <c r="HW122" s="1297"/>
      <c r="HX122" s="1297"/>
      <c r="HY122" s="1297"/>
      <c r="HZ122" s="1297"/>
      <c r="IA122" s="1297"/>
      <c r="IB122" s="1297"/>
      <c r="IC122" s="1297"/>
      <c r="ID122" s="1297"/>
      <c r="IE122" s="1297"/>
      <c r="IF122" s="1297"/>
      <c r="IG122" s="1297"/>
      <c r="IH122" s="1297"/>
      <c r="II122" s="1297"/>
      <c r="IJ122" s="1297"/>
      <c r="IK122" s="1297"/>
    </row>
    <row r="123" spans="1:10" s="1268" customFormat="1" ht="41.25" customHeight="1">
      <c r="A123" s="1269"/>
      <c r="B123" s="1328">
        <v>85203</v>
      </c>
      <c r="C123" s="1271"/>
      <c r="D123" s="1299" t="s">
        <v>797</v>
      </c>
      <c r="E123" s="1273"/>
      <c r="F123" s="1274">
        <f>F124+F126</f>
        <v>741500</v>
      </c>
      <c r="G123" s="1274">
        <f>G124+G126</f>
        <v>716800</v>
      </c>
      <c r="H123" s="1274">
        <f>H124+H126</f>
        <v>716000</v>
      </c>
      <c r="I123" s="1274">
        <f>I124+I126</f>
        <v>0</v>
      </c>
      <c r="J123" s="1267"/>
    </row>
    <row r="124" spans="1:245" s="1281" customFormat="1" ht="60.75" customHeight="1">
      <c r="A124" s="1411"/>
      <c r="B124" s="1411"/>
      <c r="C124" s="1283">
        <v>1</v>
      </c>
      <c r="D124" s="1284" t="s">
        <v>288</v>
      </c>
      <c r="E124" s="1285">
        <v>2010</v>
      </c>
      <c r="F124" s="1286">
        <v>741000</v>
      </c>
      <c r="G124" s="1286">
        <v>716000</v>
      </c>
      <c r="H124" s="1286">
        <v>716000</v>
      </c>
      <c r="I124" s="1286"/>
      <c r="J124" s="1339"/>
      <c r="K124" s="1340"/>
      <c r="L124" s="1340"/>
      <c r="M124" s="1340"/>
      <c r="N124" s="1340"/>
      <c r="O124" s="1340"/>
      <c r="P124" s="1340"/>
      <c r="Q124" s="1340"/>
      <c r="R124" s="1340"/>
      <c r="S124" s="1340"/>
      <c r="T124" s="1340"/>
      <c r="U124" s="1340"/>
      <c r="V124" s="1340"/>
      <c r="W124" s="1340"/>
      <c r="X124" s="1340"/>
      <c r="Y124" s="1340"/>
      <c r="Z124" s="1340"/>
      <c r="AA124" s="1340"/>
      <c r="AB124" s="1340"/>
      <c r="AC124" s="1340"/>
      <c r="AD124" s="1340"/>
      <c r="AE124" s="1340"/>
      <c r="AF124" s="1340"/>
      <c r="AG124" s="1340"/>
      <c r="AH124" s="1341"/>
      <c r="AI124" s="1341"/>
      <c r="AJ124" s="1341"/>
      <c r="AK124" s="1341"/>
      <c r="AL124" s="1341"/>
      <c r="AM124" s="1341"/>
      <c r="AN124" s="1341"/>
      <c r="AO124" s="1341"/>
      <c r="AP124" s="1341"/>
      <c r="AQ124" s="1341"/>
      <c r="AR124" s="1341"/>
      <c r="AS124" s="1341"/>
      <c r="AT124" s="1341"/>
      <c r="AU124" s="1341"/>
      <c r="AV124" s="1341"/>
      <c r="AW124" s="1341"/>
      <c r="AX124" s="1341"/>
      <c r="AY124" s="1341"/>
      <c r="AZ124" s="1341"/>
      <c r="BA124" s="1341"/>
      <c r="BB124" s="1341"/>
      <c r="BC124" s="1341"/>
      <c r="BD124" s="1341"/>
      <c r="BE124" s="1341"/>
      <c r="BF124" s="1341"/>
      <c r="BG124" s="1341"/>
      <c r="BH124" s="1341"/>
      <c r="BI124" s="1341"/>
      <c r="BJ124" s="1341"/>
      <c r="BK124" s="1341"/>
      <c r="BL124" s="1341"/>
      <c r="BM124" s="1341"/>
      <c r="BN124" s="1341"/>
      <c r="BO124" s="1341"/>
      <c r="BP124" s="1341"/>
      <c r="BQ124" s="1341"/>
      <c r="BR124" s="1341"/>
      <c r="BS124" s="1341"/>
      <c r="BT124" s="1341"/>
      <c r="BU124" s="1341"/>
      <c r="BV124" s="1341"/>
      <c r="BW124" s="1341"/>
      <c r="BX124" s="1341"/>
      <c r="BY124" s="1341"/>
      <c r="BZ124" s="1341"/>
      <c r="CA124" s="1341"/>
      <c r="CB124" s="1341"/>
      <c r="CC124" s="1341"/>
      <c r="CD124" s="1341"/>
      <c r="CE124" s="1341"/>
      <c r="CF124" s="1341"/>
      <c r="CG124" s="1341"/>
      <c r="CH124" s="1341"/>
      <c r="CI124" s="1341"/>
      <c r="CJ124" s="1341"/>
      <c r="CK124" s="1341"/>
      <c r="CL124" s="1341"/>
      <c r="CM124" s="1341"/>
      <c r="CN124" s="1341"/>
      <c r="CO124" s="1341"/>
      <c r="CP124" s="1341"/>
      <c r="CQ124" s="1341"/>
      <c r="CR124" s="1341"/>
      <c r="CS124" s="1341"/>
      <c r="CT124" s="1341"/>
      <c r="CU124" s="1341"/>
      <c r="CV124" s="1341"/>
      <c r="CW124" s="1341"/>
      <c r="CX124" s="1341"/>
      <c r="CY124" s="1341"/>
      <c r="CZ124" s="1341"/>
      <c r="DA124" s="1341"/>
      <c r="DB124" s="1341"/>
      <c r="DC124" s="1341"/>
      <c r="DD124" s="1341"/>
      <c r="DE124" s="1341"/>
      <c r="DF124" s="1341"/>
      <c r="DG124" s="1341"/>
      <c r="DH124" s="1341"/>
      <c r="DI124" s="1341"/>
      <c r="DJ124" s="1341"/>
      <c r="DK124" s="1341"/>
      <c r="DL124" s="1341"/>
      <c r="DM124" s="1341"/>
      <c r="DN124" s="1341"/>
      <c r="DO124" s="1341"/>
      <c r="DP124" s="1341"/>
      <c r="DQ124" s="1341"/>
      <c r="DR124" s="1341"/>
      <c r="DS124" s="1341"/>
      <c r="DT124" s="1341"/>
      <c r="DU124" s="1341"/>
      <c r="DV124" s="1341"/>
      <c r="DW124" s="1341"/>
      <c r="DX124" s="1341"/>
      <c r="DY124" s="1341"/>
      <c r="DZ124" s="1341"/>
      <c r="EA124" s="1341"/>
      <c r="EB124" s="1341"/>
      <c r="EC124" s="1341"/>
      <c r="ED124" s="1341"/>
      <c r="EE124" s="1341"/>
      <c r="EF124" s="1341"/>
      <c r="EG124" s="1341"/>
      <c r="EH124" s="1341"/>
      <c r="EI124" s="1341"/>
      <c r="EJ124" s="1341"/>
      <c r="EK124" s="1341"/>
      <c r="EL124" s="1341"/>
      <c r="EM124" s="1341"/>
      <c r="EN124" s="1341"/>
      <c r="EO124" s="1341"/>
      <c r="EP124" s="1341"/>
      <c r="EQ124" s="1341"/>
      <c r="ER124" s="1341"/>
      <c r="ES124" s="1341"/>
      <c r="ET124" s="1341"/>
      <c r="EU124" s="1341"/>
      <c r="EV124" s="1341"/>
      <c r="EW124" s="1341"/>
      <c r="EX124" s="1341"/>
      <c r="EY124" s="1341"/>
      <c r="EZ124" s="1341"/>
      <c r="FA124" s="1341"/>
      <c r="FB124" s="1341"/>
      <c r="FC124" s="1341"/>
      <c r="FD124" s="1341"/>
      <c r="FE124" s="1341"/>
      <c r="FF124" s="1341"/>
      <c r="FG124" s="1341"/>
      <c r="FH124" s="1341"/>
      <c r="FI124" s="1341"/>
      <c r="FJ124" s="1341"/>
      <c r="FK124" s="1341"/>
      <c r="FL124" s="1341"/>
      <c r="FM124" s="1341"/>
      <c r="FN124" s="1341"/>
      <c r="FO124" s="1341"/>
      <c r="FP124" s="1341"/>
      <c r="FQ124" s="1341"/>
      <c r="FR124" s="1341"/>
      <c r="FS124" s="1341"/>
      <c r="FT124" s="1341"/>
      <c r="FU124" s="1341"/>
      <c r="FV124" s="1341"/>
      <c r="FW124" s="1341"/>
      <c r="FX124" s="1341"/>
      <c r="FY124" s="1341"/>
      <c r="FZ124" s="1341"/>
      <c r="GA124" s="1341"/>
      <c r="GB124" s="1341"/>
      <c r="GC124" s="1341"/>
      <c r="GD124" s="1341"/>
      <c r="GE124" s="1341"/>
      <c r="GF124" s="1341"/>
      <c r="GG124" s="1341"/>
      <c r="GH124" s="1341"/>
      <c r="GI124" s="1341"/>
      <c r="GJ124" s="1341"/>
      <c r="GK124" s="1341"/>
      <c r="GL124" s="1341"/>
      <c r="GM124" s="1341"/>
      <c r="GN124" s="1341"/>
      <c r="GO124" s="1341"/>
      <c r="GP124" s="1341"/>
      <c r="GQ124" s="1341"/>
      <c r="GR124" s="1341"/>
      <c r="GS124" s="1341"/>
      <c r="GT124" s="1341"/>
      <c r="GU124" s="1341"/>
      <c r="GV124" s="1341"/>
      <c r="GW124" s="1341"/>
      <c r="GX124" s="1341"/>
      <c r="GY124" s="1341"/>
      <c r="GZ124" s="1341"/>
      <c r="HA124" s="1341"/>
      <c r="HB124" s="1341"/>
      <c r="HC124" s="1341"/>
      <c r="HD124" s="1341"/>
      <c r="HE124" s="1341"/>
      <c r="HF124" s="1341"/>
      <c r="HG124" s="1341"/>
      <c r="HH124" s="1341"/>
      <c r="HI124" s="1341"/>
      <c r="HJ124" s="1341"/>
      <c r="HK124" s="1341"/>
      <c r="HL124" s="1341"/>
      <c r="HM124" s="1341"/>
      <c r="HN124" s="1341"/>
      <c r="HO124" s="1341"/>
      <c r="HP124" s="1341"/>
      <c r="HQ124" s="1341"/>
      <c r="HR124" s="1341"/>
      <c r="HS124" s="1341"/>
      <c r="HT124" s="1341"/>
      <c r="HU124" s="1341"/>
      <c r="HV124" s="1341"/>
      <c r="HW124" s="1341"/>
      <c r="HX124" s="1341"/>
      <c r="HY124" s="1341"/>
      <c r="HZ124" s="1341"/>
      <c r="IA124" s="1341"/>
      <c r="IB124" s="1341"/>
      <c r="IC124" s="1341"/>
      <c r="ID124" s="1341"/>
      <c r="IE124" s="1341"/>
      <c r="IF124" s="1341"/>
      <c r="IG124" s="1341"/>
      <c r="IH124" s="1341"/>
      <c r="II124" s="1341"/>
      <c r="IJ124" s="1341"/>
      <c r="IK124" s="1341"/>
    </row>
    <row r="125" spans="1:245" s="1281" customFormat="1" ht="28.5" customHeight="1">
      <c r="A125" s="1411"/>
      <c r="B125" s="1411"/>
      <c r="C125" s="1287"/>
      <c r="D125" s="2004" t="s">
        <v>211</v>
      </c>
      <c r="E125" s="2005"/>
      <c r="F125" s="2005"/>
      <c r="G125" s="2005"/>
      <c r="H125" s="2005"/>
      <c r="I125" s="2006"/>
      <c r="J125" s="1339"/>
      <c r="K125" s="1340"/>
      <c r="L125" s="1340"/>
      <c r="M125" s="1340"/>
      <c r="N125" s="1340"/>
      <c r="O125" s="1340"/>
      <c r="P125" s="1340"/>
      <c r="Q125" s="1340"/>
      <c r="R125" s="1340"/>
      <c r="S125" s="1340"/>
      <c r="T125" s="1340"/>
      <c r="U125" s="1340"/>
      <c r="V125" s="1340"/>
      <c r="W125" s="1340"/>
      <c r="X125" s="1340"/>
      <c r="Y125" s="1340"/>
      <c r="Z125" s="1340"/>
      <c r="AA125" s="1340"/>
      <c r="AB125" s="1340"/>
      <c r="AC125" s="1340"/>
      <c r="AD125" s="1340"/>
      <c r="AE125" s="1340"/>
      <c r="AF125" s="1340"/>
      <c r="AG125" s="1340"/>
      <c r="AH125" s="1341"/>
      <c r="AI125" s="1341"/>
      <c r="AJ125" s="1341"/>
      <c r="AK125" s="1341"/>
      <c r="AL125" s="1341"/>
      <c r="AM125" s="1341"/>
      <c r="AN125" s="1341"/>
      <c r="AO125" s="1341"/>
      <c r="AP125" s="1341"/>
      <c r="AQ125" s="1341"/>
      <c r="AR125" s="1341"/>
      <c r="AS125" s="1341"/>
      <c r="AT125" s="1341"/>
      <c r="AU125" s="1341"/>
      <c r="AV125" s="1341"/>
      <c r="AW125" s="1341"/>
      <c r="AX125" s="1341"/>
      <c r="AY125" s="1341"/>
      <c r="AZ125" s="1341"/>
      <c r="BA125" s="1341"/>
      <c r="BB125" s="1341"/>
      <c r="BC125" s="1341"/>
      <c r="BD125" s="1341"/>
      <c r="BE125" s="1341"/>
      <c r="BF125" s="1341"/>
      <c r="BG125" s="1341"/>
      <c r="BH125" s="1341"/>
      <c r="BI125" s="1341"/>
      <c r="BJ125" s="1341"/>
      <c r="BK125" s="1341"/>
      <c r="BL125" s="1341"/>
      <c r="BM125" s="1341"/>
      <c r="BN125" s="1341"/>
      <c r="BO125" s="1341"/>
      <c r="BP125" s="1341"/>
      <c r="BQ125" s="1341"/>
      <c r="BR125" s="1341"/>
      <c r="BS125" s="1341"/>
      <c r="BT125" s="1341"/>
      <c r="BU125" s="1341"/>
      <c r="BV125" s="1341"/>
      <c r="BW125" s="1341"/>
      <c r="BX125" s="1341"/>
      <c r="BY125" s="1341"/>
      <c r="BZ125" s="1341"/>
      <c r="CA125" s="1341"/>
      <c r="CB125" s="1341"/>
      <c r="CC125" s="1341"/>
      <c r="CD125" s="1341"/>
      <c r="CE125" s="1341"/>
      <c r="CF125" s="1341"/>
      <c r="CG125" s="1341"/>
      <c r="CH125" s="1341"/>
      <c r="CI125" s="1341"/>
      <c r="CJ125" s="1341"/>
      <c r="CK125" s="1341"/>
      <c r="CL125" s="1341"/>
      <c r="CM125" s="1341"/>
      <c r="CN125" s="1341"/>
      <c r="CO125" s="1341"/>
      <c r="CP125" s="1341"/>
      <c r="CQ125" s="1341"/>
      <c r="CR125" s="1341"/>
      <c r="CS125" s="1341"/>
      <c r="CT125" s="1341"/>
      <c r="CU125" s="1341"/>
      <c r="CV125" s="1341"/>
      <c r="CW125" s="1341"/>
      <c r="CX125" s="1341"/>
      <c r="CY125" s="1341"/>
      <c r="CZ125" s="1341"/>
      <c r="DA125" s="1341"/>
      <c r="DB125" s="1341"/>
      <c r="DC125" s="1341"/>
      <c r="DD125" s="1341"/>
      <c r="DE125" s="1341"/>
      <c r="DF125" s="1341"/>
      <c r="DG125" s="1341"/>
      <c r="DH125" s="1341"/>
      <c r="DI125" s="1341"/>
      <c r="DJ125" s="1341"/>
      <c r="DK125" s="1341"/>
      <c r="DL125" s="1341"/>
      <c r="DM125" s="1341"/>
      <c r="DN125" s="1341"/>
      <c r="DO125" s="1341"/>
      <c r="DP125" s="1341"/>
      <c r="DQ125" s="1341"/>
      <c r="DR125" s="1341"/>
      <c r="DS125" s="1341"/>
      <c r="DT125" s="1341"/>
      <c r="DU125" s="1341"/>
      <c r="DV125" s="1341"/>
      <c r="DW125" s="1341"/>
      <c r="DX125" s="1341"/>
      <c r="DY125" s="1341"/>
      <c r="DZ125" s="1341"/>
      <c r="EA125" s="1341"/>
      <c r="EB125" s="1341"/>
      <c r="EC125" s="1341"/>
      <c r="ED125" s="1341"/>
      <c r="EE125" s="1341"/>
      <c r="EF125" s="1341"/>
      <c r="EG125" s="1341"/>
      <c r="EH125" s="1341"/>
      <c r="EI125" s="1341"/>
      <c r="EJ125" s="1341"/>
      <c r="EK125" s="1341"/>
      <c r="EL125" s="1341"/>
      <c r="EM125" s="1341"/>
      <c r="EN125" s="1341"/>
      <c r="EO125" s="1341"/>
      <c r="EP125" s="1341"/>
      <c r="EQ125" s="1341"/>
      <c r="ER125" s="1341"/>
      <c r="ES125" s="1341"/>
      <c r="ET125" s="1341"/>
      <c r="EU125" s="1341"/>
      <c r="EV125" s="1341"/>
      <c r="EW125" s="1341"/>
      <c r="EX125" s="1341"/>
      <c r="EY125" s="1341"/>
      <c r="EZ125" s="1341"/>
      <c r="FA125" s="1341"/>
      <c r="FB125" s="1341"/>
      <c r="FC125" s="1341"/>
      <c r="FD125" s="1341"/>
      <c r="FE125" s="1341"/>
      <c r="FF125" s="1341"/>
      <c r="FG125" s="1341"/>
      <c r="FH125" s="1341"/>
      <c r="FI125" s="1341"/>
      <c r="FJ125" s="1341"/>
      <c r="FK125" s="1341"/>
      <c r="FL125" s="1341"/>
      <c r="FM125" s="1341"/>
      <c r="FN125" s="1341"/>
      <c r="FO125" s="1341"/>
      <c r="FP125" s="1341"/>
      <c r="FQ125" s="1341"/>
      <c r="FR125" s="1341"/>
      <c r="FS125" s="1341"/>
      <c r="FT125" s="1341"/>
      <c r="FU125" s="1341"/>
      <c r="FV125" s="1341"/>
      <c r="FW125" s="1341"/>
      <c r="FX125" s="1341"/>
      <c r="FY125" s="1341"/>
      <c r="FZ125" s="1341"/>
      <c r="GA125" s="1341"/>
      <c r="GB125" s="1341"/>
      <c r="GC125" s="1341"/>
      <c r="GD125" s="1341"/>
      <c r="GE125" s="1341"/>
      <c r="GF125" s="1341"/>
      <c r="GG125" s="1341"/>
      <c r="GH125" s="1341"/>
      <c r="GI125" s="1341"/>
      <c r="GJ125" s="1341"/>
      <c r="GK125" s="1341"/>
      <c r="GL125" s="1341"/>
      <c r="GM125" s="1341"/>
      <c r="GN125" s="1341"/>
      <c r="GO125" s="1341"/>
      <c r="GP125" s="1341"/>
      <c r="GQ125" s="1341"/>
      <c r="GR125" s="1341"/>
      <c r="GS125" s="1341"/>
      <c r="GT125" s="1341"/>
      <c r="GU125" s="1341"/>
      <c r="GV125" s="1341"/>
      <c r="GW125" s="1341"/>
      <c r="GX125" s="1341"/>
      <c r="GY125" s="1341"/>
      <c r="GZ125" s="1341"/>
      <c r="HA125" s="1341"/>
      <c r="HB125" s="1341"/>
      <c r="HC125" s="1341"/>
      <c r="HD125" s="1341"/>
      <c r="HE125" s="1341"/>
      <c r="HF125" s="1341"/>
      <c r="HG125" s="1341"/>
      <c r="HH125" s="1341"/>
      <c r="HI125" s="1341"/>
      <c r="HJ125" s="1341"/>
      <c r="HK125" s="1341"/>
      <c r="HL125" s="1341"/>
      <c r="HM125" s="1341"/>
      <c r="HN125" s="1341"/>
      <c r="HO125" s="1341"/>
      <c r="HP125" s="1341"/>
      <c r="HQ125" s="1341"/>
      <c r="HR125" s="1341"/>
      <c r="HS125" s="1341"/>
      <c r="HT125" s="1341"/>
      <c r="HU125" s="1341"/>
      <c r="HV125" s="1341"/>
      <c r="HW125" s="1341"/>
      <c r="HX125" s="1341"/>
      <c r="HY125" s="1341"/>
      <c r="HZ125" s="1341"/>
      <c r="IA125" s="1341"/>
      <c r="IB125" s="1341"/>
      <c r="IC125" s="1341"/>
      <c r="ID125" s="1341"/>
      <c r="IE125" s="1341"/>
      <c r="IF125" s="1341"/>
      <c r="IG125" s="1341"/>
      <c r="IH125" s="1341"/>
      <c r="II125" s="1341"/>
      <c r="IJ125" s="1341"/>
      <c r="IK125" s="1341"/>
    </row>
    <row r="126" spans="1:245" s="1281" customFormat="1" ht="80.25" customHeight="1">
      <c r="A126" s="1411"/>
      <c r="B126" s="1411"/>
      <c r="C126" s="1283">
        <v>2</v>
      </c>
      <c r="D126" s="1293" t="s">
        <v>289</v>
      </c>
      <c r="E126" s="1302">
        <v>2360</v>
      </c>
      <c r="F126" s="1286">
        <v>500</v>
      </c>
      <c r="G126" s="1286">
        <v>800</v>
      </c>
      <c r="H126" s="1286"/>
      <c r="I126" s="1303"/>
      <c r="J126" s="1339"/>
      <c r="K126" s="1340"/>
      <c r="L126" s="1340"/>
      <c r="M126" s="1340"/>
      <c r="N126" s="1340"/>
      <c r="O126" s="1340"/>
      <c r="P126" s="1340"/>
      <c r="Q126" s="1340"/>
      <c r="R126" s="1340"/>
      <c r="S126" s="1340"/>
      <c r="T126" s="1340"/>
      <c r="U126" s="1340"/>
      <c r="V126" s="1340"/>
      <c r="W126" s="1340"/>
      <c r="X126" s="1340"/>
      <c r="Y126" s="1340"/>
      <c r="Z126" s="1340"/>
      <c r="AA126" s="1340"/>
      <c r="AB126" s="1340"/>
      <c r="AC126" s="1340"/>
      <c r="AD126" s="1340"/>
      <c r="AE126" s="1340"/>
      <c r="AF126" s="1340"/>
      <c r="AG126" s="1340"/>
      <c r="AH126" s="1341"/>
      <c r="AI126" s="1341"/>
      <c r="AJ126" s="1341"/>
      <c r="AK126" s="1341"/>
      <c r="AL126" s="1341"/>
      <c r="AM126" s="1341"/>
      <c r="AN126" s="1341"/>
      <c r="AO126" s="1341"/>
      <c r="AP126" s="1341"/>
      <c r="AQ126" s="1341"/>
      <c r="AR126" s="1341"/>
      <c r="AS126" s="1341"/>
      <c r="AT126" s="1341"/>
      <c r="AU126" s="1341"/>
      <c r="AV126" s="1341"/>
      <c r="AW126" s="1341"/>
      <c r="AX126" s="1341"/>
      <c r="AY126" s="1341"/>
      <c r="AZ126" s="1341"/>
      <c r="BA126" s="1341"/>
      <c r="BB126" s="1341"/>
      <c r="BC126" s="1341"/>
      <c r="BD126" s="1341"/>
      <c r="BE126" s="1341"/>
      <c r="BF126" s="1341"/>
      <c r="BG126" s="1341"/>
      <c r="BH126" s="1341"/>
      <c r="BI126" s="1341"/>
      <c r="BJ126" s="1341"/>
      <c r="BK126" s="1341"/>
      <c r="BL126" s="1341"/>
      <c r="BM126" s="1341"/>
      <c r="BN126" s="1341"/>
      <c r="BO126" s="1341"/>
      <c r="BP126" s="1341"/>
      <c r="BQ126" s="1341"/>
      <c r="BR126" s="1341"/>
      <c r="BS126" s="1341"/>
      <c r="BT126" s="1341"/>
      <c r="BU126" s="1341"/>
      <c r="BV126" s="1341"/>
      <c r="BW126" s="1341"/>
      <c r="BX126" s="1341"/>
      <c r="BY126" s="1341"/>
      <c r="BZ126" s="1341"/>
      <c r="CA126" s="1341"/>
      <c r="CB126" s="1341"/>
      <c r="CC126" s="1341"/>
      <c r="CD126" s="1341"/>
      <c r="CE126" s="1341"/>
      <c r="CF126" s="1341"/>
      <c r="CG126" s="1341"/>
      <c r="CH126" s="1341"/>
      <c r="CI126" s="1341"/>
      <c r="CJ126" s="1341"/>
      <c r="CK126" s="1341"/>
      <c r="CL126" s="1341"/>
      <c r="CM126" s="1341"/>
      <c r="CN126" s="1341"/>
      <c r="CO126" s="1341"/>
      <c r="CP126" s="1341"/>
      <c r="CQ126" s="1341"/>
      <c r="CR126" s="1341"/>
      <c r="CS126" s="1341"/>
      <c r="CT126" s="1341"/>
      <c r="CU126" s="1341"/>
      <c r="CV126" s="1341"/>
      <c r="CW126" s="1341"/>
      <c r="CX126" s="1341"/>
      <c r="CY126" s="1341"/>
      <c r="CZ126" s="1341"/>
      <c r="DA126" s="1341"/>
      <c r="DB126" s="1341"/>
      <c r="DC126" s="1341"/>
      <c r="DD126" s="1341"/>
      <c r="DE126" s="1341"/>
      <c r="DF126" s="1341"/>
      <c r="DG126" s="1341"/>
      <c r="DH126" s="1341"/>
      <c r="DI126" s="1341"/>
      <c r="DJ126" s="1341"/>
      <c r="DK126" s="1341"/>
      <c r="DL126" s="1341"/>
      <c r="DM126" s="1341"/>
      <c r="DN126" s="1341"/>
      <c r="DO126" s="1341"/>
      <c r="DP126" s="1341"/>
      <c r="DQ126" s="1341"/>
      <c r="DR126" s="1341"/>
      <c r="DS126" s="1341"/>
      <c r="DT126" s="1341"/>
      <c r="DU126" s="1341"/>
      <c r="DV126" s="1341"/>
      <c r="DW126" s="1341"/>
      <c r="DX126" s="1341"/>
      <c r="DY126" s="1341"/>
      <c r="DZ126" s="1341"/>
      <c r="EA126" s="1341"/>
      <c r="EB126" s="1341"/>
      <c r="EC126" s="1341"/>
      <c r="ED126" s="1341"/>
      <c r="EE126" s="1341"/>
      <c r="EF126" s="1341"/>
      <c r="EG126" s="1341"/>
      <c r="EH126" s="1341"/>
      <c r="EI126" s="1341"/>
      <c r="EJ126" s="1341"/>
      <c r="EK126" s="1341"/>
      <c r="EL126" s="1341"/>
      <c r="EM126" s="1341"/>
      <c r="EN126" s="1341"/>
      <c r="EO126" s="1341"/>
      <c r="EP126" s="1341"/>
      <c r="EQ126" s="1341"/>
      <c r="ER126" s="1341"/>
      <c r="ES126" s="1341"/>
      <c r="ET126" s="1341"/>
      <c r="EU126" s="1341"/>
      <c r="EV126" s="1341"/>
      <c r="EW126" s="1341"/>
      <c r="EX126" s="1341"/>
      <c r="EY126" s="1341"/>
      <c r="EZ126" s="1341"/>
      <c r="FA126" s="1341"/>
      <c r="FB126" s="1341"/>
      <c r="FC126" s="1341"/>
      <c r="FD126" s="1341"/>
      <c r="FE126" s="1341"/>
      <c r="FF126" s="1341"/>
      <c r="FG126" s="1341"/>
      <c r="FH126" s="1341"/>
      <c r="FI126" s="1341"/>
      <c r="FJ126" s="1341"/>
      <c r="FK126" s="1341"/>
      <c r="FL126" s="1341"/>
      <c r="FM126" s="1341"/>
      <c r="FN126" s="1341"/>
      <c r="FO126" s="1341"/>
      <c r="FP126" s="1341"/>
      <c r="FQ126" s="1341"/>
      <c r="FR126" s="1341"/>
      <c r="FS126" s="1341"/>
      <c r="FT126" s="1341"/>
      <c r="FU126" s="1341"/>
      <c r="FV126" s="1341"/>
      <c r="FW126" s="1341"/>
      <c r="FX126" s="1341"/>
      <c r="FY126" s="1341"/>
      <c r="FZ126" s="1341"/>
      <c r="GA126" s="1341"/>
      <c r="GB126" s="1341"/>
      <c r="GC126" s="1341"/>
      <c r="GD126" s="1341"/>
      <c r="GE126" s="1341"/>
      <c r="GF126" s="1341"/>
      <c r="GG126" s="1341"/>
      <c r="GH126" s="1341"/>
      <c r="GI126" s="1341"/>
      <c r="GJ126" s="1341"/>
      <c r="GK126" s="1341"/>
      <c r="GL126" s="1341"/>
      <c r="GM126" s="1341"/>
      <c r="GN126" s="1341"/>
      <c r="GO126" s="1341"/>
      <c r="GP126" s="1341"/>
      <c r="GQ126" s="1341"/>
      <c r="GR126" s="1341"/>
      <c r="GS126" s="1341"/>
      <c r="GT126" s="1341"/>
      <c r="GU126" s="1341"/>
      <c r="GV126" s="1341"/>
      <c r="GW126" s="1341"/>
      <c r="GX126" s="1341"/>
      <c r="GY126" s="1341"/>
      <c r="GZ126" s="1341"/>
      <c r="HA126" s="1341"/>
      <c r="HB126" s="1341"/>
      <c r="HC126" s="1341"/>
      <c r="HD126" s="1341"/>
      <c r="HE126" s="1341"/>
      <c r="HF126" s="1341"/>
      <c r="HG126" s="1341"/>
      <c r="HH126" s="1341"/>
      <c r="HI126" s="1341"/>
      <c r="HJ126" s="1341"/>
      <c r="HK126" s="1341"/>
      <c r="HL126" s="1341"/>
      <c r="HM126" s="1341"/>
      <c r="HN126" s="1341"/>
      <c r="HO126" s="1341"/>
      <c r="HP126" s="1341"/>
      <c r="HQ126" s="1341"/>
      <c r="HR126" s="1341"/>
      <c r="HS126" s="1341"/>
      <c r="HT126" s="1341"/>
      <c r="HU126" s="1341"/>
      <c r="HV126" s="1341"/>
      <c r="HW126" s="1341"/>
      <c r="HX126" s="1341"/>
      <c r="HY126" s="1341"/>
      <c r="HZ126" s="1341"/>
      <c r="IA126" s="1341"/>
      <c r="IB126" s="1341"/>
      <c r="IC126" s="1341"/>
      <c r="ID126" s="1341"/>
      <c r="IE126" s="1341"/>
      <c r="IF126" s="1341"/>
      <c r="IG126" s="1341"/>
      <c r="IH126" s="1341"/>
      <c r="II126" s="1341"/>
      <c r="IJ126" s="1341"/>
      <c r="IK126" s="1341"/>
    </row>
    <row r="127" spans="1:10" s="1268" customFormat="1" ht="68.25" customHeight="1">
      <c r="A127" s="1304"/>
      <c r="B127" s="1298">
        <v>85212</v>
      </c>
      <c r="C127" s="1271"/>
      <c r="D127" s="1299" t="s">
        <v>290</v>
      </c>
      <c r="E127" s="1300"/>
      <c r="F127" s="1301">
        <f>F128+F130</f>
        <v>4779000</v>
      </c>
      <c r="G127" s="1301">
        <f>G128+G130</f>
        <v>5569750</v>
      </c>
      <c r="H127" s="1301">
        <f>H128+H130</f>
        <v>5568000</v>
      </c>
      <c r="I127" s="1301">
        <f>I128</f>
        <v>0</v>
      </c>
      <c r="J127" s="1267"/>
    </row>
    <row r="128" spans="1:245" s="1281" customFormat="1" ht="69.75" customHeight="1">
      <c r="A128" s="1419"/>
      <c r="B128" s="1419"/>
      <c r="C128" s="1287">
        <v>1</v>
      </c>
      <c r="D128" s="1293" t="s">
        <v>291</v>
      </c>
      <c r="E128" s="1342">
        <v>2010</v>
      </c>
      <c r="F128" s="1343">
        <v>4778000</v>
      </c>
      <c r="G128" s="1343">
        <v>5568000</v>
      </c>
      <c r="H128" s="1343">
        <v>5568000</v>
      </c>
      <c r="I128" s="1344"/>
      <c r="J128" s="1345"/>
      <c r="K128" s="1346"/>
      <c r="L128" s="1346"/>
      <c r="M128" s="1346"/>
      <c r="N128" s="1346"/>
      <c r="O128" s="1346"/>
      <c r="P128" s="1346"/>
      <c r="Q128" s="1346"/>
      <c r="R128" s="1346"/>
      <c r="S128" s="1346"/>
      <c r="T128" s="1346"/>
      <c r="U128" s="1346"/>
      <c r="V128" s="1346"/>
      <c r="W128" s="1346"/>
      <c r="X128" s="1346"/>
      <c r="Y128" s="1346"/>
      <c r="Z128" s="1346"/>
      <c r="AA128" s="1346"/>
      <c r="AB128" s="1346"/>
      <c r="AC128" s="1346"/>
      <c r="AD128" s="1346"/>
      <c r="AE128" s="1346"/>
      <c r="AF128" s="1346"/>
      <c r="AG128" s="1346"/>
      <c r="AH128" s="1347"/>
      <c r="AI128" s="1347"/>
      <c r="AJ128" s="1347"/>
      <c r="AK128" s="1347"/>
      <c r="AL128" s="1347"/>
      <c r="AM128" s="1347"/>
      <c r="AN128" s="1347"/>
      <c r="AO128" s="1347"/>
      <c r="AP128" s="1347"/>
      <c r="AQ128" s="1347"/>
      <c r="AR128" s="1347"/>
      <c r="AS128" s="1347"/>
      <c r="AT128" s="1347"/>
      <c r="AU128" s="1347"/>
      <c r="AV128" s="1347"/>
      <c r="AW128" s="1347"/>
      <c r="AX128" s="1347"/>
      <c r="AY128" s="1347"/>
      <c r="AZ128" s="1347"/>
      <c r="BA128" s="1347"/>
      <c r="BB128" s="1347"/>
      <c r="BC128" s="1347"/>
      <c r="BD128" s="1347"/>
      <c r="BE128" s="1347"/>
      <c r="BF128" s="1347"/>
      <c r="BG128" s="1347"/>
      <c r="BH128" s="1347"/>
      <c r="BI128" s="1347"/>
      <c r="BJ128" s="1347"/>
      <c r="BK128" s="1347"/>
      <c r="BL128" s="1347"/>
      <c r="BM128" s="1347"/>
      <c r="BN128" s="1347"/>
      <c r="BO128" s="1347"/>
      <c r="BP128" s="1347"/>
      <c r="BQ128" s="1347"/>
      <c r="BR128" s="1347"/>
      <c r="BS128" s="1347"/>
      <c r="BT128" s="1347"/>
      <c r="BU128" s="1347"/>
      <c r="BV128" s="1347"/>
      <c r="BW128" s="1347"/>
      <c r="BX128" s="1347"/>
      <c r="BY128" s="1347"/>
      <c r="BZ128" s="1347"/>
      <c r="CA128" s="1347"/>
      <c r="CB128" s="1347"/>
      <c r="CC128" s="1347"/>
      <c r="CD128" s="1347"/>
      <c r="CE128" s="1347"/>
      <c r="CF128" s="1347"/>
      <c r="CG128" s="1347"/>
      <c r="CH128" s="1347"/>
      <c r="CI128" s="1347"/>
      <c r="CJ128" s="1347"/>
      <c r="CK128" s="1347"/>
      <c r="CL128" s="1347"/>
      <c r="CM128" s="1347"/>
      <c r="CN128" s="1347"/>
      <c r="CO128" s="1347"/>
      <c r="CP128" s="1347"/>
      <c r="CQ128" s="1347"/>
      <c r="CR128" s="1347"/>
      <c r="CS128" s="1347"/>
      <c r="CT128" s="1347"/>
      <c r="CU128" s="1347"/>
      <c r="CV128" s="1347"/>
      <c r="CW128" s="1347"/>
      <c r="CX128" s="1347"/>
      <c r="CY128" s="1347"/>
      <c r="CZ128" s="1347"/>
      <c r="DA128" s="1347"/>
      <c r="DB128" s="1347"/>
      <c r="DC128" s="1347"/>
      <c r="DD128" s="1347"/>
      <c r="DE128" s="1347"/>
      <c r="DF128" s="1347"/>
      <c r="DG128" s="1347"/>
      <c r="DH128" s="1347"/>
      <c r="DI128" s="1347"/>
      <c r="DJ128" s="1347"/>
      <c r="DK128" s="1347"/>
      <c r="DL128" s="1347"/>
      <c r="DM128" s="1347"/>
      <c r="DN128" s="1347"/>
      <c r="DO128" s="1347"/>
      <c r="DP128" s="1347"/>
      <c r="DQ128" s="1347"/>
      <c r="DR128" s="1347"/>
      <c r="DS128" s="1347"/>
      <c r="DT128" s="1347"/>
      <c r="DU128" s="1347"/>
      <c r="DV128" s="1347"/>
      <c r="DW128" s="1347"/>
      <c r="DX128" s="1347"/>
      <c r="DY128" s="1347"/>
      <c r="DZ128" s="1347"/>
      <c r="EA128" s="1347"/>
      <c r="EB128" s="1347"/>
      <c r="EC128" s="1347"/>
      <c r="ED128" s="1347"/>
      <c r="EE128" s="1347"/>
      <c r="EF128" s="1347"/>
      <c r="EG128" s="1347"/>
      <c r="EH128" s="1347"/>
      <c r="EI128" s="1347"/>
      <c r="EJ128" s="1347"/>
      <c r="EK128" s="1347"/>
      <c r="EL128" s="1347"/>
      <c r="EM128" s="1347"/>
      <c r="EN128" s="1347"/>
      <c r="EO128" s="1347"/>
      <c r="EP128" s="1347"/>
      <c r="EQ128" s="1347"/>
      <c r="ER128" s="1347"/>
      <c r="ES128" s="1347"/>
      <c r="ET128" s="1347"/>
      <c r="EU128" s="1347"/>
      <c r="EV128" s="1347"/>
      <c r="EW128" s="1347"/>
      <c r="EX128" s="1347"/>
      <c r="EY128" s="1347"/>
      <c r="EZ128" s="1347"/>
      <c r="FA128" s="1347"/>
      <c r="FB128" s="1347"/>
      <c r="FC128" s="1347"/>
      <c r="FD128" s="1347"/>
      <c r="FE128" s="1347"/>
      <c r="FF128" s="1347"/>
      <c r="FG128" s="1347"/>
      <c r="FH128" s="1347"/>
      <c r="FI128" s="1347"/>
      <c r="FJ128" s="1347"/>
      <c r="FK128" s="1347"/>
      <c r="FL128" s="1347"/>
      <c r="FM128" s="1347"/>
      <c r="FN128" s="1347"/>
      <c r="FO128" s="1347"/>
      <c r="FP128" s="1347"/>
      <c r="FQ128" s="1347"/>
      <c r="FR128" s="1347"/>
      <c r="FS128" s="1347"/>
      <c r="FT128" s="1347"/>
      <c r="FU128" s="1347"/>
      <c r="FV128" s="1347"/>
      <c r="FW128" s="1347"/>
      <c r="FX128" s="1347"/>
      <c r="FY128" s="1347"/>
      <c r="FZ128" s="1347"/>
      <c r="GA128" s="1347"/>
      <c r="GB128" s="1347"/>
      <c r="GC128" s="1347"/>
      <c r="GD128" s="1347"/>
      <c r="GE128" s="1347"/>
      <c r="GF128" s="1347"/>
      <c r="GG128" s="1347"/>
      <c r="GH128" s="1347"/>
      <c r="GI128" s="1347"/>
      <c r="GJ128" s="1347"/>
      <c r="GK128" s="1347"/>
      <c r="GL128" s="1347"/>
      <c r="GM128" s="1347"/>
      <c r="GN128" s="1347"/>
      <c r="GO128" s="1347"/>
      <c r="GP128" s="1347"/>
      <c r="GQ128" s="1347"/>
      <c r="GR128" s="1347"/>
      <c r="GS128" s="1347"/>
      <c r="GT128" s="1347"/>
      <c r="GU128" s="1347"/>
      <c r="GV128" s="1347"/>
      <c r="GW128" s="1347"/>
      <c r="GX128" s="1347"/>
      <c r="GY128" s="1347"/>
      <c r="GZ128" s="1347"/>
      <c r="HA128" s="1347"/>
      <c r="HB128" s="1347"/>
      <c r="HC128" s="1347"/>
      <c r="HD128" s="1347"/>
      <c r="HE128" s="1347"/>
      <c r="HF128" s="1347"/>
      <c r="HG128" s="1347"/>
      <c r="HH128" s="1347"/>
      <c r="HI128" s="1347"/>
      <c r="HJ128" s="1347"/>
      <c r="HK128" s="1347"/>
      <c r="HL128" s="1347"/>
      <c r="HM128" s="1347"/>
      <c r="HN128" s="1347"/>
      <c r="HO128" s="1347"/>
      <c r="HP128" s="1347"/>
      <c r="HQ128" s="1347"/>
      <c r="HR128" s="1347"/>
      <c r="HS128" s="1347"/>
      <c r="HT128" s="1347"/>
      <c r="HU128" s="1347"/>
      <c r="HV128" s="1347"/>
      <c r="HW128" s="1347"/>
      <c r="HX128" s="1347"/>
      <c r="HY128" s="1347"/>
      <c r="HZ128" s="1347"/>
      <c r="IA128" s="1347"/>
      <c r="IB128" s="1347"/>
      <c r="IC128" s="1347"/>
      <c r="ID128" s="1347"/>
      <c r="IE128" s="1347"/>
      <c r="IF128" s="1347"/>
      <c r="IG128" s="1347"/>
      <c r="IH128" s="1347"/>
      <c r="II128" s="1347"/>
      <c r="IJ128" s="1347"/>
      <c r="IK128" s="1347"/>
    </row>
    <row r="129" spans="1:245" s="1281" customFormat="1" ht="33" customHeight="1">
      <c r="A129" s="1411"/>
      <c r="B129" s="1411"/>
      <c r="C129" s="1287"/>
      <c r="D129" s="2004" t="s">
        <v>211</v>
      </c>
      <c r="E129" s="2005"/>
      <c r="F129" s="2005"/>
      <c r="G129" s="2005"/>
      <c r="H129" s="2005"/>
      <c r="I129" s="2006"/>
      <c r="J129" s="1339"/>
      <c r="K129" s="1340"/>
      <c r="L129" s="1340"/>
      <c r="M129" s="1340"/>
      <c r="N129" s="1340"/>
      <c r="O129" s="1340"/>
      <c r="P129" s="1340"/>
      <c r="Q129" s="1340"/>
      <c r="R129" s="1340"/>
      <c r="S129" s="1340"/>
      <c r="T129" s="1340"/>
      <c r="U129" s="1340"/>
      <c r="V129" s="1340"/>
      <c r="W129" s="1340"/>
      <c r="X129" s="1340"/>
      <c r="Y129" s="1340"/>
      <c r="Z129" s="1340"/>
      <c r="AA129" s="1340"/>
      <c r="AB129" s="1340"/>
      <c r="AC129" s="1340"/>
      <c r="AD129" s="1340"/>
      <c r="AE129" s="1340"/>
      <c r="AF129" s="1340"/>
      <c r="AG129" s="1340"/>
      <c r="AH129" s="1341"/>
      <c r="AI129" s="1341"/>
      <c r="AJ129" s="1341"/>
      <c r="AK129" s="1341"/>
      <c r="AL129" s="1341"/>
      <c r="AM129" s="1341"/>
      <c r="AN129" s="1341"/>
      <c r="AO129" s="1341"/>
      <c r="AP129" s="1341"/>
      <c r="AQ129" s="1341"/>
      <c r="AR129" s="1341"/>
      <c r="AS129" s="1341"/>
      <c r="AT129" s="1341"/>
      <c r="AU129" s="1341"/>
      <c r="AV129" s="1341"/>
      <c r="AW129" s="1341"/>
      <c r="AX129" s="1341"/>
      <c r="AY129" s="1341"/>
      <c r="AZ129" s="1341"/>
      <c r="BA129" s="1341"/>
      <c r="BB129" s="1341"/>
      <c r="BC129" s="1341"/>
      <c r="BD129" s="1341"/>
      <c r="BE129" s="1341"/>
      <c r="BF129" s="1341"/>
      <c r="BG129" s="1341"/>
      <c r="BH129" s="1341"/>
      <c r="BI129" s="1341"/>
      <c r="BJ129" s="1341"/>
      <c r="BK129" s="1341"/>
      <c r="BL129" s="1341"/>
      <c r="BM129" s="1341"/>
      <c r="BN129" s="1341"/>
      <c r="BO129" s="1341"/>
      <c r="BP129" s="1341"/>
      <c r="BQ129" s="1341"/>
      <c r="BR129" s="1341"/>
      <c r="BS129" s="1341"/>
      <c r="BT129" s="1341"/>
      <c r="BU129" s="1341"/>
      <c r="BV129" s="1341"/>
      <c r="BW129" s="1341"/>
      <c r="BX129" s="1341"/>
      <c r="BY129" s="1341"/>
      <c r="BZ129" s="1341"/>
      <c r="CA129" s="1341"/>
      <c r="CB129" s="1341"/>
      <c r="CC129" s="1341"/>
      <c r="CD129" s="1341"/>
      <c r="CE129" s="1341"/>
      <c r="CF129" s="1341"/>
      <c r="CG129" s="1341"/>
      <c r="CH129" s="1341"/>
      <c r="CI129" s="1341"/>
      <c r="CJ129" s="1341"/>
      <c r="CK129" s="1341"/>
      <c r="CL129" s="1341"/>
      <c r="CM129" s="1341"/>
      <c r="CN129" s="1341"/>
      <c r="CO129" s="1341"/>
      <c r="CP129" s="1341"/>
      <c r="CQ129" s="1341"/>
      <c r="CR129" s="1341"/>
      <c r="CS129" s="1341"/>
      <c r="CT129" s="1341"/>
      <c r="CU129" s="1341"/>
      <c r="CV129" s="1341"/>
      <c r="CW129" s="1341"/>
      <c r="CX129" s="1341"/>
      <c r="CY129" s="1341"/>
      <c r="CZ129" s="1341"/>
      <c r="DA129" s="1341"/>
      <c r="DB129" s="1341"/>
      <c r="DC129" s="1341"/>
      <c r="DD129" s="1341"/>
      <c r="DE129" s="1341"/>
      <c r="DF129" s="1341"/>
      <c r="DG129" s="1341"/>
      <c r="DH129" s="1341"/>
      <c r="DI129" s="1341"/>
      <c r="DJ129" s="1341"/>
      <c r="DK129" s="1341"/>
      <c r="DL129" s="1341"/>
      <c r="DM129" s="1341"/>
      <c r="DN129" s="1341"/>
      <c r="DO129" s="1341"/>
      <c r="DP129" s="1341"/>
      <c r="DQ129" s="1341"/>
      <c r="DR129" s="1341"/>
      <c r="DS129" s="1341"/>
      <c r="DT129" s="1341"/>
      <c r="DU129" s="1341"/>
      <c r="DV129" s="1341"/>
      <c r="DW129" s="1341"/>
      <c r="DX129" s="1341"/>
      <c r="DY129" s="1341"/>
      <c r="DZ129" s="1341"/>
      <c r="EA129" s="1341"/>
      <c r="EB129" s="1341"/>
      <c r="EC129" s="1341"/>
      <c r="ED129" s="1341"/>
      <c r="EE129" s="1341"/>
      <c r="EF129" s="1341"/>
      <c r="EG129" s="1341"/>
      <c r="EH129" s="1341"/>
      <c r="EI129" s="1341"/>
      <c r="EJ129" s="1341"/>
      <c r="EK129" s="1341"/>
      <c r="EL129" s="1341"/>
      <c r="EM129" s="1341"/>
      <c r="EN129" s="1341"/>
      <c r="EO129" s="1341"/>
      <c r="EP129" s="1341"/>
      <c r="EQ129" s="1341"/>
      <c r="ER129" s="1341"/>
      <c r="ES129" s="1341"/>
      <c r="ET129" s="1341"/>
      <c r="EU129" s="1341"/>
      <c r="EV129" s="1341"/>
      <c r="EW129" s="1341"/>
      <c r="EX129" s="1341"/>
      <c r="EY129" s="1341"/>
      <c r="EZ129" s="1341"/>
      <c r="FA129" s="1341"/>
      <c r="FB129" s="1341"/>
      <c r="FC129" s="1341"/>
      <c r="FD129" s="1341"/>
      <c r="FE129" s="1341"/>
      <c r="FF129" s="1341"/>
      <c r="FG129" s="1341"/>
      <c r="FH129" s="1341"/>
      <c r="FI129" s="1341"/>
      <c r="FJ129" s="1341"/>
      <c r="FK129" s="1341"/>
      <c r="FL129" s="1341"/>
      <c r="FM129" s="1341"/>
      <c r="FN129" s="1341"/>
      <c r="FO129" s="1341"/>
      <c r="FP129" s="1341"/>
      <c r="FQ129" s="1341"/>
      <c r="FR129" s="1341"/>
      <c r="FS129" s="1341"/>
      <c r="FT129" s="1341"/>
      <c r="FU129" s="1341"/>
      <c r="FV129" s="1341"/>
      <c r="FW129" s="1341"/>
      <c r="FX129" s="1341"/>
      <c r="FY129" s="1341"/>
      <c r="FZ129" s="1341"/>
      <c r="GA129" s="1341"/>
      <c r="GB129" s="1341"/>
      <c r="GC129" s="1341"/>
      <c r="GD129" s="1341"/>
      <c r="GE129" s="1341"/>
      <c r="GF129" s="1341"/>
      <c r="GG129" s="1341"/>
      <c r="GH129" s="1341"/>
      <c r="GI129" s="1341"/>
      <c r="GJ129" s="1341"/>
      <c r="GK129" s="1341"/>
      <c r="GL129" s="1341"/>
      <c r="GM129" s="1341"/>
      <c r="GN129" s="1341"/>
      <c r="GO129" s="1341"/>
      <c r="GP129" s="1341"/>
      <c r="GQ129" s="1341"/>
      <c r="GR129" s="1341"/>
      <c r="GS129" s="1341"/>
      <c r="GT129" s="1341"/>
      <c r="GU129" s="1341"/>
      <c r="GV129" s="1341"/>
      <c r="GW129" s="1341"/>
      <c r="GX129" s="1341"/>
      <c r="GY129" s="1341"/>
      <c r="GZ129" s="1341"/>
      <c r="HA129" s="1341"/>
      <c r="HB129" s="1341"/>
      <c r="HC129" s="1341"/>
      <c r="HD129" s="1341"/>
      <c r="HE129" s="1341"/>
      <c r="HF129" s="1341"/>
      <c r="HG129" s="1341"/>
      <c r="HH129" s="1341"/>
      <c r="HI129" s="1341"/>
      <c r="HJ129" s="1341"/>
      <c r="HK129" s="1341"/>
      <c r="HL129" s="1341"/>
      <c r="HM129" s="1341"/>
      <c r="HN129" s="1341"/>
      <c r="HO129" s="1341"/>
      <c r="HP129" s="1341"/>
      <c r="HQ129" s="1341"/>
      <c r="HR129" s="1341"/>
      <c r="HS129" s="1341"/>
      <c r="HT129" s="1341"/>
      <c r="HU129" s="1341"/>
      <c r="HV129" s="1341"/>
      <c r="HW129" s="1341"/>
      <c r="HX129" s="1341"/>
      <c r="HY129" s="1341"/>
      <c r="HZ129" s="1341"/>
      <c r="IA129" s="1341"/>
      <c r="IB129" s="1341"/>
      <c r="IC129" s="1341"/>
      <c r="ID129" s="1341"/>
      <c r="IE129" s="1341"/>
      <c r="IF129" s="1341"/>
      <c r="IG129" s="1341"/>
      <c r="IH129" s="1341"/>
      <c r="II129" s="1341"/>
      <c r="IJ129" s="1341"/>
      <c r="IK129" s="1341"/>
    </row>
    <row r="130" spans="1:245" s="1281" customFormat="1" ht="80.25" customHeight="1">
      <c r="A130" s="1411"/>
      <c r="B130" s="1411"/>
      <c r="C130" s="1283">
        <v>2</v>
      </c>
      <c r="D130" s="1293" t="s">
        <v>292</v>
      </c>
      <c r="E130" s="1302">
        <v>2360</v>
      </c>
      <c r="F130" s="1286">
        <v>1000</v>
      </c>
      <c r="G130" s="1286">
        <v>1750</v>
      </c>
      <c r="H130" s="1286"/>
      <c r="I130" s="1303"/>
      <c r="J130" s="1339"/>
      <c r="K130" s="1340"/>
      <c r="L130" s="1340"/>
      <c r="M130" s="1340"/>
      <c r="N130" s="1340"/>
      <c r="O130" s="1340"/>
      <c r="P130" s="1340"/>
      <c r="Q130" s="1340"/>
      <c r="R130" s="1340"/>
      <c r="S130" s="1340"/>
      <c r="T130" s="1340"/>
      <c r="U130" s="1340"/>
      <c r="V130" s="1340"/>
      <c r="W130" s="1340"/>
      <c r="X130" s="1340"/>
      <c r="Y130" s="1340"/>
      <c r="Z130" s="1340"/>
      <c r="AA130" s="1340"/>
      <c r="AB130" s="1340"/>
      <c r="AC130" s="1340"/>
      <c r="AD130" s="1340"/>
      <c r="AE130" s="1340"/>
      <c r="AF130" s="1340"/>
      <c r="AG130" s="1340"/>
      <c r="AH130" s="1341"/>
      <c r="AI130" s="1341"/>
      <c r="AJ130" s="1341"/>
      <c r="AK130" s="1341"/>
      <c r="AL130" s="1341"/>
      <c r="AM130" s="1341"/>
      <c r="AN130" s="1341"/>
      <c r="AO130" s="1341"/>
      <c r="AP130" s="1341"/>
      <c r="AQ130" s="1341"/>
      <c r="AR130" s="1341"/>
      <c r="AS130" s="1341"/>
      <c r="AT130" s="1341"/>
      <c r="AU130" s="1341"/>
      <c r="AV130" s="1341"/>
      <c r="AW130" s="1341"/>
      <c r="AX130" s="1341"/>
      <c r="AY130" s="1341"/>
      <c r="AZ130" s="1341"/>
      <c r="BA130" s="1341"/>
      <c r="BB130" s="1341"/>
      <c r="BC130" s="1341"/>
      <c r="BD130" s="1341"/>
      <c r="BE130" s="1341"/>
      <c r="BF130" s="1341"/>
      <c r="BG130" s="1341"/>
      <c r="BH130" s="1341"/>
      <c r="BI130" s="1341"/>
      <c r="BJ130" s="1341"/>
      <c r="BK130" s="1341"/>
      <c r="BL130" s="1341"/>
      <c r="BM130" s="1341"/>
      <c r="BN130" s="1341"/>
      <c r="BO130" s="1341"/>
      <c r="BP130" s="1341"/>
      <c r="BQ130" s="1341"/>
      <c r="BR130" s="1341"/>
      <c r="BS130" s="1341"/>
      <c r="BT130" s="1341"/>
      <c r="BU130" s="1341"/>
      <c r="BV130" s="1341"/>
      <c r="BW130" s="1341"/>
      <c r="BX130" s="1341"/>
      <c r="BY130" s="1341"/>
      <c r="BZ130" s="1341"/>
      <c r="CA130" s="1341"/>
      <c r="CB130" s="1341"/>
      <c r="CC130" s="1341"/>
      <c r="CD130" s="1341"/>
      <c r="CE130" s="1341"/>
      <c r="CF130" s="1341"/>
      <c r="CG130" s="1341"/>
      <c r="CH130" s="1341"/>
      <c r="CI130" s="1341"/>
      <c r="CJ130" s="1341"/>
      <c r="CK130" s="1341"/>
      <c r="CL130" s="1341"/>
      <c r="CM130" s="1341"/>
      <c r="CN130" s="1341"/>
      <c r="CO130" s="1341"/>
      <c r="CP130" s="1341"/>
      <c r="CQ130" s="1341"/>
      <c r="CR130" s="1341"/>
      <c r="CS130" s="1341"/>
      <c r="CT130" s="1341"/>
      <c r="CU130" s="1341"/>
      <c r="CV130" s="1341"/>
      <c r="CW130" s="1341"/>
      <c r="CX130" s="1341"/>
      <c r="CY130" s="1341"/>
      <c r="CZ130" s="1341"/>
      <c r="DA130" s="1341"/>
      <c r="DB130" s="1341"/>
      <c r="DC130" s="1341"/>
      <c r="DD130" s="1341"/>
      <c r="DE130" s="1341"/>
      <c r="DF130" s="1341"/>
      <c r="DG130" s="1341"/>
      <c r="DH130" s="1341"/>
      <c r="DI130" s="1341"/>
      <c r="DJ130" s="1341"/>
      <c r="DK130" s="1341"/>
      <c r="DL130" s="1341"/>
      <c r="DM130" s="1341"/>
      <c r="DN130" s="1341"/>
      <c r="DO130" s="1341"/>
      <c r="DP130" s="1341"/>
      <c r="DQ130" s="1341"/>
      <c r="DR130" s="1341"/>
      <c r="DS130" s="1341"/>
      <c r="DT130" s="1341"/>
      <c r="DU130" s="1341"/>
      <c r="DV130" s="1341"/>
      <c r="DW130" s="1341"/>
      <c r="DX130" s="1341"/>
      <c r="DY130" s="1341"/>
      <c r="DZ130" s="1341"/>
      <c r="EA130" s="1341"/>
      <c r="EB130" s="1341"/>
      <c r="EC130" s="1341"/>
      <c r="ED130" s="1341"/>
      <c r="EE130" s="1341"/>
      <c r="EF130" s="1341"/>
      <c r="EG130" s="1341"/>
      <c r="EH130" s="1341"/>
      <c r="EI130" s="1341"/>
      <c r="EJ130" s="1341"/>
      <c r="EK130" s="1341"/>
      <c r="EL130" s="1341"/>
      <c r="EM130" s="1341"/>
      <c r="EN130" s="1341"/>
      <c r="EO130" s="1341"/>
      <c r="EP130" s="1341"/>
      <c r="EQ130" s="1341"/>
      <c r="ER130" s="1341"/>
      <c r="ES130" s="1341"/>
      <c r="ET130" s="1341"/>
      <c r="EU130" s="1341"/>
      <c r="EV130" s="1341"/>
      <c r="EW130" s="1341"/>
      <c r="EX130" s="1341"/>
      <c r="EY130" s="1341"/>
      <c r="EZ130" s="1341"/>
      <c r="FA130" s="1341"/>
      <c r="FB130" s="1341"/>
      <c r="FC130" s="1341"/>
      <c r="FD130" s="1341"/>
      <c r="FE130" s="1341"/>
      <c r="FF130" s="1341"/>
      <c r="FG130" s="1341"/>
      <c r="FH130" s="1341"/>
      <c r="FI130" s="1341"/>
      <c r="FJ130" s="1341"/>
      <c r="FK130" s="1341"/>
      <c r="FL130" s="1341"/>
      <c r="FM130" s="1341"/>
      <c r="FN130" s="1341"/>
      <c r="FO130" s="1341"/>
      <c r="FP130" s="1341"/>
      <c r="FQ130" s="1341"/>
      <c r="FR130" s="1341"/>
      <c r="FS130" s="1341"/>
      <c r="FT130" s="1341"/>
      <c r="FU130" s="1341"/>
      <c r="FV130" s="1341"/>
      <c r="FW130" s="1341"/>
      <c r="FX130" s="1341"/>
      <c r="FY130" s="1341"/>
      <c r="FZ130" s="1341"/>
      <c r="GA130" s="1341"/>
      <c r="GB130" s="1341"/>
      <c r="GC130" s="1341"/>
      <c r="GD130" s="1341"/>
      <c r="GE130" s="1341"/>
      <c r="GF130" s="1341"/>
      <c r="GG130" s="1341"/>
      <c r="GH130" s="1341"/>
      <c r="GI130" s="1341"/>
      <c r="GJ130" s="1341"/>
      <c r="GK130" s="1341"/>
      <c r="GL130" s="1341"/>
      <c r="GM130" s="1341"/>
      <c r="GN130" s="1341"/>
      <c r="GO130" s="1341"/>
      <c r="GP130" s="1341"/>
      <c r="GQ130" s="1341"/>
      <c r="GR130" s="1341"/>
      <c r="GS130" s="1341"/>
      <c r="GT130" s="1341"/>
      <c r="GU130" s="1341"/>
      <c r="GV130" s="1341"/>
      <c r="GW130" s="1341"/>
      <c r="GX130" s="1341"/>
      <c r="GY130" s="1341"/>
      <c r="GZ130" s="1341"/>
      <c r="HA130" s="1341"/>
      <c r="HB130" s="1341"/>
      <c r="HC130" s="1341"/>
      <c r="HD130" s="1341"/>
      <c r="HE130" s="1341"/>
      <c r="HF130" s="1341"/>
      <c r="HG130" s="1341"/>
      <c r="HH130" s="1341"/>
      <c r="HI130" s="1341"/>
      <c r="HJ130" s="1341"/>
      <c r="HK130" s="1341"/>
      <c r="HL130" s="1341"/>
      <c r="HM130" s="1341"/>
      <c r="HN130" s="1341"/>
      <c r="HO130" s="1341"/>
      <c r="HP130" s="1341"/>
      <c r="HQ130" s="1341"/>
      <c r="HR130" s="1341"/>
      <c r="HS130" s="1341"/>
      <c r="HT130" s="1341"/>
      <c r="HU130" s="1341"/>
      <c r="HV130" s="1341"/>
      <c r="HW130" s="1341"/>
      <c r="HX130" s="1341"/>
      <c r="HY130" s="1341"/>
      <c r="HZ130" s="1341"/>
      <c r="IA130" s="1341"/>
      <c r="IB130" s="1341"/>
      <c r="IC130" s="1341"/>
      <c r="ID130" s="1341"/>
      <c r="IE130" s="1341"/>
      <c r="IF130" s="1341"/>
      <c r="IG130" s="1341"/>
      <c r="IH130" s="1341"/>
      <c r="II130" s="1341"/>
      <c r="IJ130" s="1341"/>
      <c r="IK130" s="1341"/>
    </row>
    <row r="131" spans="1:10" s="1268" customFormat="1" ht="78" customHeight="1">
      <c r="A131" s="1304"/>
      <c r="B131" s="1298">
        <v>85213</v>
      </c>
      <c r="C131" s="1271"/>
      <c r="D131" s="1299" t="s">
        <v>293</v>
      </c>
      <c r="E131" s="1300"/>
      <c r="F131" s="1301">
        <f>F132</f>
        <v>13400</v>
      </c>
      <c r="G131" s="1301">
        <f>G132</f>
        <v>18000</v>
      </c>
      <c r="H131" s="1301">
        <f>H132</f>
        <v>18000</v>
      </c>
      <c r="I131" s="1301">
        <f>I132</f>
        <v>0</v>
      </c>
      <c r="J131" s="1267"/>
    </row>
    <row r="132" spans="1:245" s="1281" customFormat="1" ht="99.75" customHeight="1">
      <c r="A132" s="1411"/>
      <c r="B132" s="1411"/>
      <c r="C132" s="1287">
        <v>1</v>
      </c>
      <c r="D132" s="1293" t="s">
        <v>294</v>
      </c>
      <c r="E132" s="1348">
        <v>2010</v>
      </c>
      <c r="F132" s="1327">
        <v>13400</v>
      </c>
      <c r="G132" s="1327">
        <v>18000</v>
      </c>
      <c r="H132" s="1327">
        <v>18000</v>
      </c>
      <c r="I132" s="1327"/>
      <c r="J132" s="1339"/>
      <c r="K132" s="1340"/>
      <c r="L132" s="1340"/>
      <c r="M132" s="1340"/>
      <c r="N132" s="1340"/>
      <c r="O132" s="1340"/>
      <c r="P132" s="1340"/>
      <c r="Q132" s="1340"/>
      <c r="R132" s="1340"/>
      <c r="S132" s="1340"/>
      <c r="T132" s="1340"/>
      <c r="U132" s="1340"/>
      <c r="V132" s="1340"/>
      <c r="W132" s="1340"/>
      <c r="X132" s="1340"/>
      <c r="Y132" s="1340"/>
      <c r="Z132" s="1340"/>
      <c r="AA132" s="1340"/>
      <c r="AB132" s="1340"/>
      <c r="AC132" s="1340"/>
      <c r="AD132" s="1340"/>
      <c r="AE132" s="1340"/>
      <c r="AF132" s="1340"/>
      <c r="AG132" s="1340"/>
      <c r="AH132" s="1341"/>
      <c r="AI132" s="1341"/>
      <c r="AJ132" s="1341"/>
      <c r="AK132" s="1341"/>
      <c r="AL132" s="1341"/>
      <c r="AM132" s="1341"/>
      <c r="AN132" s="1341"/>
      <c r="AO132" s="1341"/>
      <c r="AP132" s="1341"/>
      <c r="AQ132" s="1341"/>
      <c r="AR132" s="1341"/>
      <c r="AS132" s="1341"/>
      <c r="AT132" s="1341"/>
      <c r="AU132" s="1341"/>
      <c r="AV132" s="1341"/>
      <c r="AW132" s="1341"/>
      <c r="AX132" s="1341"/>
      <c r="AY132" s="1341"/>
      <c r="AZ132" s="1341"/>
      <c r="BA132" s="1341"/>
      <c r="BB132" s="1341"/>
      <c r="BC132" s="1341"/>
      <c r="BD132" s="1341"/>
      <c r="BE132" s="1341"/>
      <c r="BF132" s="1341"/>
      <c r="BG132" s="1341"/>
      <c r="BH132" s="1341"/>
      <c r="BI132" s="1341"/>
      <c r="BJ132" s="1341"/>
      <c r="BK132" s="1341"/>
      <c r="BL132" s="1341"/>
      <c r="BM132" s="1341"/>
      <c r="BN132" s="1341"/>
      <c r="BO132" s="1341"/>
      <c r="BP132" s="1341"/>
      <c r="BQ132" s="1341"/>
      <c r="BR132" s="1341"/>
      <c r="BS132" s="1341"/>
      <c r="BT132" s="1341"/>
      <c r="BU132" s="1341"/>
      <c r="BV132" s="1341"/>
      <c r="BW132" s="1341"/>
      <c r="BX132" s="1341"/>
      <c r="BY132" s="1341"/>
      <c r="BZ132" s="1341"/>
      <c r="CA132" s="1341"/>
      <c r="CB132" s="1341"/>
      <c r="CC132" s="1341"/>
      <c r="CD132" s="1341"/>
      <c r="CE132" s="1341"/>
      <c r="CF132" s="1341"/>
      <c r="CG132" s="1341"/>
      <c r="CH132" s="1341"/>
      <c r="CI132" s="1341"/>
      <c r="CJ132" s="1341"/>
      <c r="CK132" s="1341"/>
      <c r="CL132" s="1341"/>
      <c r="CM132" s="1341"/>
      <c r="CN132" s="1341"/>
      <c r="CO132" s="1341"/>
      <c r="CP132" s="1341"/>
      <c r="CQ132" s="1341"/>
      <c r="CR132" s="1341"/>
      <c r="CS132" s="1341"/>
      <c r="CT132" s="1341"/>
      <c r="CU132" s="1341"/>
      <c r="CV132" s="1341"/>
      <c r="CW132" s="1341"/>
      <c r="CX132" s="1341"/>
      <c r="CY132" s="1341"/>
      <c r="CZ132" s="1341"/>
      <c r="DA132" s="1341"/>
      <c r="DB132" s="1341"/>
      <c r="DC132" s="1341"/>
      <c r="DD132" s="1341"/>
      <c r="DE132" s="1341"/>
      <c r="DF132" s="1341"/>
      <c r="DG132" s="1341"/>
      <c r="DH132" s="1341"/>
      <c r="DI132" s="1341"/>
      <c r="DJ132" s="1341"/>
      <c r="DK132" s="1341"/>
      <c r="DL132" s="1341"/>
      <c r="DM132" s="1341"/>
      <c r="DN132" s="1341"/>
      <c r="DO132" s="1341"/>
      <c r="DP132" s="1341"/>
      <c r="DQ132" s="1341"/>
      <c r="DR132" s="1341"/>
      <c r="DS132" s="1341"/>
      <c r="DT132" s="1341"/>
      <c r="DU132" s="1341"/>
      <c r="DV132" s="1341"/>
      <c r="DW132" s="1341"/>
      <c r="DX132" s="1341"/>
      <c r="DY132" s="1341"/>
      <c r="DZ132" s="1341"/>
      <c r="EA132" s="1341"/>
      <c r="EB132" s="1341"/>
      <c r="EC132" s="1341"/>
      <c r="ED132" s="1341"/>
      <c r="EE132" s="1341"/>
      <c r="EF132" s="1341"/>
      <c r="EG132" s="1341"/>
      <c r="EH132" s="1341"/>
      <c r="EI132" s="1341"/>
      <c r="EJ132" s="1341"/>
      <c r="EK132" s="1341"/>
      <c r="EL132" s="1341"/>
      <c r="EM132" s="1341"/>
      <c r="EN132" s="1341"/>
      <c r="EO132" s="1341"/>
      <c r="EP132" s="1341"/>
      <c r="EQ132" s="1341"/>
      <c r="ER132" s="1341"/>
      <c r="ES132" s="1341"/>
      <c r="ET132" s="1341"/>
      <c r="EU132" s="1341"/>
      <c r="EV132" s="1341"/>
      <c r="EW132" s="1341"/>
      <c r="EX132" s="1341"/>
      <c r="EY132" s="1341"/>
      <c r="EZ132" s="1341"/>
      <c r="FA132" s="1341"/>
      <c r="FB132" s="1341"/>
      <c r="FC132" s="1341"/>
      <c r="FD132" s="1341"/>
      <c r="FE132" s="1341"/>
      <c r="FF132" s="1341"/>
      <c r="FG132" s="1341"/>
      <c r="FH132" s="1341"/>
      <c r="FI132" s="1341"/>
      <c r="FJ132" s="1341"/>
      <c r="FK132" s="1341"/>
      <c r="FL132" s="1341"/>
      <c r="FM132" s="1341"/>
      <c r="FN132" s="1341"/>
      <c r="FO132" s="1341"/>
      <c r="FP132" s="1341"/>
      <c r="FQ132" s="1341"/>
      <c r="FR132" s="1341"/>
      <c r="FS132" s="1341"/>
      <c r="FT132" s="1341"/>
      <c r="FU132" s="1341"/>
      <c r="FV132" s="1341"/>
      <c r="FW132" s="1341"/>
      <c r="FX132" s="1341"/>
      <c r="FY132" s="1341"/>
      <c r="FZ132" s="1341"/>
      <c r="GA132" s="1341"/>
      <c r="GB132" s="1341"/>
      <c r="GC132" s="1341"/>
      <c r="GD132" s="1341"/>
      <c r="GE132" s="1341"/>
      <c r="GF132" s="1341"/>
      <c r="GG132" s="1341"/>
      <c r="GH132" s="1341"/>
      <c r="GI132" s="1341"/>
      <c r="GJ132" s="1341"/>
      <c r="GK132" s="1341"/>
      <c r="GL132" s="1341"/>
      <c r="GM132" s="1341"/>
      <c r="GN132" s="1341"/>
      <c r="GO132" s="1341"/>
      <c r="GP132" s="1341"/>
      <c r="GQ132" s="1341"/>
      <c r="GR132" s="1341"/>
      <c r="GS132" s="1341"/>
      <c r="GT132" s="1341"/>
      <c r="GU132" s="1341"/>
      <c r="GV132" s="1341"/>
      <c r="GW132" s="1341"/>
      <c r="GX132" s="1341"/>
      <c r="GY132" s="1341"/>
      <c r="GZ132" s="1341"/>
      <c r="HA132" s="1341"/>
      <c r="HB132" s="1341"/>
      <c r="HC132" s="1341"/>
      <c r="HD132" s="1341"/>
      <c r="HE132" s="1341"/>
      <c r="HF132" s="1341"/>
      <c r="HG132" s="1341"/>
      <c r="HH132" s="1341"/>
      <c r="HI132" s="1341"/>
      <c r="HJ132" s="1341"/>
      <c r="HK132" s="1341"/>
      <c r="HL132" s="1341"/>
      <c r="HM132" s="1341"/>
      <c r="HN132" s="1341"/>
      <c r="HO132" s="1341"/>
      <c r="HP132" s="1341"/>
      <c r="HQ132" s="1341"/>
      <c r="HR132" s="1341"/>
      <c r="HS132" s="1341"/>
      <c r="HT132" s="1341"/>
      <c r="HU132" s="1341"/>
      <c r="HV132" s="1341"/>
      <c r="HW132" s="1341"/>
      <c r="HX132" s="1341"/>
      <c r="HY132" s="1341"/>
      <c r="HZ132" s="1341"/>
      <c r="IA132" s="1341"/>
      <c r="IB132" s="1341"/>
      <c r="IC132" s="1341"/>
      <c r="ID132" s="1341"/>
      <c r="IE132" s="1341"/>
      <c r="IF132" s="1341"/>
      <c r="IG132" s="1341"/>
      <c r="IH132" s="1341"/>
      <c r="II132" s="1341"/>
      <c r="IJ132" s="1341"/>
      <c r="IK132" s="1341"/>
    </row>
    <row r="133" spans="1:245" s="1281" customFormat="1" ht="31.5" customHeight="1">
      <c r="A133" s="1411"/>
      <c r="B133" s="1411"/>
      <c r="C133" s="1287"/>
      <c r="D133" s="2004" t="s">
        <v>211</v>
      </c>
      <c r="E133" s="2005"/>
      <c r="F133" s="2005"/>
      <c r="G133" s="2005"/>
      <c r="H133" s="2005"/>
      <c r="I133" s="2006"/>
      <c r="J133" s="1339"/>
      <c r="K133" s="1340"/>
      <c r="L133" s="1340"/>
      <c r="M133" s="1340"/>
      <c r="N133" s="1340"/>
      <c r="O133" s="1340"/>
      <c r="P133" s="1340"/>
      <c r="Q133" s="1340"/>
      <c r="R133" s="1340"/>
      <c r="S133" s="1340"/>
      <c r="T133" s="1340"/>
      <c r="U133" s="1340"/>
      <c r="V133" s="1340"/>
      <c r="W133" s="1340"/>
      <c r="X133" s="1340"/>
      <c r="Y133" s="1340"/>
      <c r="Z133" s="1340"/>
      <c r="AA133" s="1340"/>
      <c r="AB133" s="1340"/>
      <c r="AC133" s="1340"/>
      <c r="AD133" s="1340"/>
      <c r="AE133" s="1340"/>
      <c r="AF133" s="1340"/>
      <c r="AG133" s="1340"/>
      <c r="AH133" s="1341"/>
      <c r="AI133" s="1341"/>
      <c r="AJ133" s="1341"/>
      <c r="AK133" s="1341"/>
      <c r="AL133" s="1341"/>
      <c r="AM133" s="1341"/>
      <c r="AN133" s="1341"/>
      <c r="AO133" s="1341"/>
      <c r="AP133" s="1341"/>
      <c r="AQ133" s="1341"/>
      <c r="AR133" s="1341"/>
      <c r="AS133" s="1341"/>
      <c r="AT133" s="1341"/>
      <c r="AU133" s="1341"/>
      <c r="AV133" s="1341"/>
      <c r="AW133" s="1341"/>
      <c r="AX133" s="1341"/>
      <c r="AY133" s="1341"/>
      <c r="AZ133" s="1341"/>
      <c r="BA133" s="1341"/>
      <c r="BB133" s="1341"/>
      <c r="BC133" s="1341"/>
      <c r="BD133" s="1341"/>
      <c r="BE133" s="1341"/>
      <c r="BF133" s="1341"/>
      <c r="BG133" s="1341"/>
      <c r="BH133" s="1341"/>
      <c r="BI133" s="1341"/>
      <c r="BJ133" s="1341"/>
      <c r="BK133" s="1341"/>
      <c r="BL133" s="1341"/>
      <c r="BM133" s="1341"/>
      <c r="BN133" s="1341"/>
      <c r="BO133" s="1341"/>
      <c r="BP133" s="1341"/>
      <c r="BQ133" s="1341"/>
      <c r="BR133" s="1341"/>
      <c r="BS133" s="1341"/>
      <c r="BT133" s="1341"/>
      <c r="BU133" s="1341"/>
      <c r="BV133" s="1341"/>
      <c r="BW133" s="1341"/>
      <c r="BX133" s="1341"/>
      <c r="BY133" s="1341"/>
      <c r="BZ133" s="1341"/>
      <c r="CA133" s="1341"/>
      <c r="CB133" s="1341"/>
      <c r="CC133" s="1341"/>
      <c r="CD133" s="1341"/>
      <c r="CE133" s="1341"/>
      <c r="CF133" s="1341"/>
      <c r="CG133" s="1341"/>
      <c r="CH133" s="1341"/>
      <c r="CI133" s="1341"/>
      <c r="CJ133" s="1341"/>
      <c r="CK133" s="1341"/>
      <c r="CL133" s="1341"/>
      <c r="CM133" s="1341"/>
      <c r="CN133" s="1341"/>
      <c r="CO133" s="1341"/>
      <c r="CP133" s="1341"/>
      <c r="CQ133" s="1341"/>
      <c r="CR133" s="1341"/>
      <c r="CS133" s="1341"/>
      <c r="CT133" s="1341"/>
      <c r="CU133" s="1341"/>
      <c r="CV133" s="1341"/>
      <c r="CW133" s="1341"/>
      <c r="CX133" s="1341"/>
      <c r="CY133" s="1341"/>
      <c r="CZ133" s="1341"/>
      <c r="DA133" s="1341"/>
      <c r="DB133" s="1341"/>
      <c r="DC133" s="1341"/>
      <c r="DD133" s="1341"/>
      <c r="DE133" s="1341"/>
      <c r="DF133" s="1341"/>
      <c r="DG133" s="1341"/>
      <c r="DH133" s="1341"/>
      <c r="DI133" s="1341"/>
      <c r="DJ133" s="1341"/>
      <c r="DK133" s="1341"/>
      <c r="DL133" s="1341"/>
      <c r="DM133" s="1341"/>
      <c r="DN133" s="1341"/>
      <c r="DO133" s="1341"/>
      <c r="DP133" s="1341"/>
      <c r="DQ133" s="1341"/>
      <c r="DR133" s="1341"/>
      <c r="DS133" s="1341"/>
      <c r="DT133" s="1341"/>
      <c r="DU133" s="1341"/>
      <c r="DV133" s="1341"/>
      <c r="DW133" s="1341"/>
      <c r="DX133" s="1341"/>
      <c r="DY133" s="1341"/>
      <c r="DZ133" s="1341"/>
      <c r="EA133" s="1341"/>
      <c r="EB133" s="1341"/>
      <c r="EC133" s="1341"/>
      <c r="ED133" s="1341"/>
      <c r="EE133" s="1341"/>
      <c r="EF133" s="1341"/>
      <c r="EG133" s="1341"/>
      <c r="EH133" s="1341"/>
      <c r="EI133" s="1341"/>
      <c r="EJ133" s="1341"/>
      <c r="EK133" s="1341"/>
      <c r="EL133" s="1341"/>
      <c r="EM133" s="1341"/>
      <c r="EN133" s="1341"/>
      <c r="EO133" s="1341"/>
      <c r="EP133" s="1341"/>
      <c r="EQ133" s="1341"/>
      <c r="ER133" s="1341"/>
      <c r="ES133" s="1341"/>
      <c r="ET133" s="1341"/>
      <c r="EU133" s="1341"/>
      <c r="EV133" s="1341"/>
      <c r="EW133" s="1341"/>
      <c r="EX133" s="1341"/>
      <c r="EY133" s="1341"/>
      <c r="EZ133" s="1341"/>
      <c r="FA133" s="1341"/>
      <c r="FB133" s="1341"/>
      <c r="FC133" s="1341"/>
      <c r="FD133" s="1341"/>
      <c r="FE133" s="1341"/>
      <c r="FF133" s="1341"/>
      <c r="FG133" s="1341"/>
      <c r="FH133" s="1341"/>
      <c r="FI133" s="1341"/>
      <c r="FJ133" s="1341"/>
      <c r="FK133" s="1341"/>
      <c r="FL133" s="1341"/>
      <c r="FM133" s="1341"/>
      <c r="FN133" s="1341"/>
      <c r="FO133" s="1341"/>
      <c r="FP133" s="1341"/>
      <c r="FQ133" s="1341"/>
      <c r="FR133" s="1341"/>
      <c r="FS133" s="1341"/>
      <c r="FT133" s="1341"/>
      <c r="FU133" s="1341"/>
      <c r="FV133" s="1341"/>
      <c r="FW133" s="1341"/>
      <c r="FX133" s="1341"/>
      <c r="FY133" s="1341"/>
      <c r="FZ133" s="1341"/>
      <c r="GA133" s="1341"/>
      <c r="GB133" s="1341"/>
      <c r="GC133" s="1341"/>
      <c r="GD133" s="1341"/>
      <c r="GE133" s="1341"/>
      <c r="GF133" s="1341"/>
      <c r="GG133" s="1341"/>
      <c r="GH133" s="1341"/>
      <c r="GI133" s="1341"/>
      <c r="GJ133" s="1341"/>
      <c r="GK133" s="1341"/>
      <c r="GL133" s="1341"/>
      <c r="GM133" s="1341"/>
      <c r="GN133" s="1341"/>
      <c r="GO133" s="1341"/>
      <c r="GP133" s="1341"/>
      <c r="GQ133" s="1341"/>
      <c r="GR133" s="1341"/>
      <c r="GS133" s="1341"/>
      <c r="GT133" s="1341"/>
      <c r="GU133" s="1341"/>
      <c r="GV133" s="1341"/>
      <c r="GW133" s="1341"/>
      <c r="GX133" s="1341"/>
      <c r="GY133" s="1341"/>
      <c r="GZ133" s="1341"/>
      <c r="HA133" s="1341"/>
      <c r="HB133" s="1341"/>
      <c r="HC133" s="1341"/>
      <c r="HD133" s="1341"/>
      <c r="HE133" s="1341"/>
      <c r="HF133" s="1341"/>
      <c r="HG133" s="1341"/>
      <c r="HH133" s="1341"/>
      <c r="HI133" s="1341"/>
      <c r="HJ133" s="1341"/>
      <c r="HK133" s="1341"/>
      <c r="HL133" s="1341"/>
      <c r="HM133" s="1341"/>
      <c r="HN133" s="1341"/>
      <c r="HO133" s="1341"/>
      <c r="HP133" s="1341"/>
      <c r="HQ133" s="1341"/>
      <c r="HR133" s="1341"/>
      <c r="HS133" s="1341"/>
      <c r="HT133" s="1341"/>
      <c r="HU133" s="1341"/>
      <c r="HV133" s="1341"/>
      <c r="HW133" s="1341"/>
      <c r="HX133" s="1341"/>
      <c r="HY133" s="1341"/>
      <c r="HZ133" s="1341"/>
      <c r="IA133" s="1341"/>
      <c r="IB133" s="1341"/>
      <c r="IC133" s="1341"/>
      <c r="ID133" s="1341"/>
      <c r="IE133" s="1341"/>
      <c r="IF133" s="1341"/>
      <c r="IG133" s="1341"/>
      <c r="IH133" s="1341"/>
      <c r="II133" s="1341"/>
      <c r="IJ133" s="1341"/>
      <c r="IK133" s="1341"/>
    </row>
    <row r="134" spans="1:10" s="1268" customFormat="1" ht="61.5" customHeight="1">
      <c r="A134" s="1304"/>
      <c r="B134" s="1298">
        <v>85214</v>
      </c>
      <c r="C134" s="1271"/>
      <c r="D134" s="1299" t="s">
        <v>295</v>
      </c>
      <c r="E134" s="1300"/>
      <c r="F134" s="1301">
        <f>F135+F137</f>
        <v>423000</v>
      </c>
      <c r="G134" s="1301">
        <f>G135+G137</f>
        <v>369000</v>
      </c>
      <c r="H134" s="1301">
        <f>H135+H137</f>
        <v>122000</v>
      </c>
      <c r="I134" s="1301">
        <f>I135</f>
        <v>0</v>
      </c>
      <c r="J134" s="1267"/>
    </row>
    <row r="135" spans="1:245" s="1281" customFormat="1" ht="79.5" customHeight="1">
      <c r="A135" s="1411"/>
      <c r="B135" s="1411"/>
      <c r="C135" s="1283">
        <v>1</v>
      </c>
      <c r="D135" s="1293" t="s">
        <v>296</v>
      </c>
      <c r="E135" s="1285">
        <v>2010</v>
      </c>
      <c r="F135" s="1286">
        <v>134000</v>
      </c>
      <c r="G135" s="1286">
        <v>122000</v>
      </c>
      <c r="H135" s="1286">
        <v>122000</v>
      </c>
      <c r="I135" s="1286"/>
      <c r="J135" s="1339"/>
      <c r="K135" s="1340"/>
      <c r="L135" s="1340"/>
      <c r="M135" s="1340"/>
      <c r="N135" s="1340"/>
      <c r="O135" s="1340"/>
      <c r="P135" s="1340"/>
      <c r="Q135" s="1340"/>
      <c r="R135" s="1340"/>
      <c r="S135" s="1340"/>
      <c r="T135" s="1340"/>
      <c r="U135" s="1340"/>
      <c r="V135" s="1340"/>
      <c r="W135" s="1340"/>
      <c r="X135" s="1340"/>
      <c r="Y135" s="1340"/>
      <c r="Z135" s="1340"/>
      <c r="AA135" s="1340"/>
      <c r="AB135" s="1340"/>
      <c r="AC135" s="1340"/>
      <c r="AD135" s="1340"/>
      <c r="AE135" s="1340"/>
      <c r="AF135" s="1340"/>
      <c r="AG135" s="1340"/>
      <c r="AH135" s="1341"/>
      <c r="AI135" s="1341"/>
      <c r="AJ135" s="1341"/>
      <c r="AK135" s="1341"/>
      <c r="AL135" s="1341"/>
      <c r="AM135" s="1341"/>
      <c r="AN135" s="1341"/>
      <c r="AO135" s="1341"/>
      <c r="AP135" s="1341"/>
      <c r="AQ135" s="1341"/>
      <c r="AR135" s="1341"/>
      <c r="AS135" s="1341"/>
      <c r="AT135" s="1341"/>
      <c r="AU135" s="1341"/>
      <c r="AV135" s="1341"/>
      <c r="AW135" s="1341"/>
      <c r="AX135" s="1341"/>
      <c r="AY135" s="1341"/>
      <c r="AZ135" s="1341"/>
      <c r="BA135" s="1341"/>
      <c r="BB135" s="1341"/>
      <c r="BC135" s="1341"/>
      <c r="BD135" s="1341"/>
      <c r="BE135" s="1341"/>
      <c r="BF135" s="1341"/>
      <c r="BG135" s="1341"/>
      <c r="BH135" s="1341"/>
      <c r="BI135" s="1341"/>
      <c r="BJ135" s="1341"/>
      <c r="BK135" s="1341"/>
      <c r="BL135" s="1341"/>
      <c r="BM135" s="1341"/>
      <c r="BN135" s="1341"/>
      <c r="BO135" s="1341"/>
      <c r="BP135" s="1341"/>
      <c r="BQ135" s="1341"/>
      <c r="BR135" s="1341"/>
      <c r="BS135" s="1341"/>
      <c r="BT135" s="1341"/>
      <c r="BU135" s="1341"/>
      <c r="BV135" s="1341"/>
      <c r="BW135" s="1341"/>
      <c r="BX135" s="1341"/>
      <c r="BY135" s="1341"/>
      <c r="BZ135" s="1341"/>
      <c r="CA135" s="1341"/>
      <c r="CB135" s="1341"/>
      <c r="CC135" s="1341"/>
      <c r="CD135" s="1341"/>
      <c r="CE135" s="1341"/>
      <c r="CF135" s="1341"/>
      <c r="CG135" s="1341"/>
      <c r="CH135" s="1341"/>
      <c r="CI135" s="1341"/>
      <c r="CJ135" s="1341"/>
      <c r="CK135" s="1341"/>
      <c r="CL135" s="1341"/>
      <c r="CM135" s="1341"/>
      <c r="CN135" s="1341"/>
      <c r="CO135" s="1341"/>
      <c r="CP135" s="1341"/>
      <c r="CQ135" s="1341"/>
      <c r="CR135" s="1341"/>
      <c r="CS135" s="1341"/>
      <c r="CT135" s="1341"/>
      <c r="CU135" s="1341"/>
      <c r="CV135" s="1341"/>
      <c r="CW135" s="1341"/>
      <c r="CX135" s="1341"/>
      <c r="CY135" s="1341"/>
      <c r="CZ135" s="1341"/>
      <c r="DA135" s="1341"/>
      <c r="DB135" s="1341"/>
      <c r="DC135" s="1341"/>
      <c r="DD135" s="1341"/>
      <c r="DE135" s="1341"/>
      <c r="DF135" s="1341"/>
      <c r="DG135" s="1341"/>
      <c r="DH135" s="1341"/>
      <c r="DI135" s="1341"/>
      <c r="DJ135" s="1341"/>
      <c r="DK135" s="1341"/>
      <c r="DL135" s="1341"/>
      <c r="DM135" s="1341"/>
      <c r="DN135" s="1341"/>
      <c r="DO135" s="1341"/>
      <c r="DP135" s="1341"/>
      <c r="DQ135" s="1341"/>
      <c r="DR135" s="1341"/>
      <c r="DS135" s="1341"/>
      <c r="DT135" s="1341"/>
      <c r="DU135" s="1341"/>
      <c r="DV135" s="1341"/>
      <c r="DW135" s="1341"/>
      <c r="DX135" s="1341"/>
      <c r="DY135" s="1341"/>
      <c r="DZ135" s="1341"/>
      <c r="EA135" s="1341"/>
      <c r="EB135" s="1341"/>
      <c r="EC135" s="1341"/>
      <c r="ED135" s="1341"/>
      <c r="EE135" s="1341"/>
      <c r="EF135" s="1341"/>
      <c r="EG135" s="1341"/>
      <c r="EH135" s="1341"/>
      <c r="EI135" s="1341"/>
      <c r="EJ135" s="1341"/>
      <c r="EK135" s="1341"/>
      <c r="EL135" s="1341"/>
      <c r="EM135" s="1341"/>
      <c r="EN135" s="1341"/>
      <c r="EO135" s="1341"/>
      <c r="EP135" s="1341"/>
      <c r="EQ135" s="1341"/>
      <c r="ER135" s="1341"/>
      <c r="ES135" s="1341"/>
      <c r="ET135" s="1341"/>
      <c r="EU135" s="1341"/>
      <c r="EV135" s="1341"/>
      <c r="EW135" s="1341"/>
      <c r="EX135" s="1341"/>
      <c r="EY135" s="1341"/>
      <c r="EZ135" s="1341"/>
      <c r="FA135" s="1341"/>
      <c r="FB135" s="1341"/>
      <c r="FC135" s="1341"/>
      <c r="FD135" s="1341"/>
      <c r="FE135" s="1341"/>
      <c r="FF135" s="1341"/>
      <c r="FG135" s="1341"/>
      <c r="FH135" s="1341"/>
      <c r="FI135" s="1341"/>
      <c r="FJ135" s="1341"/>
      <c r="FK135" s="1341"/>
      <c r="FL135" s="1341"/>
      <c r="FM135" s="1341"/>
      <c r="FN135" s="1341"/>
      <c r="FO135" s="1341"/>
      <c r="FP135" s="1341"/>
      <c r="FQ135" s="1341"/>
      <c r="FR135" s="1341"/>
      <c r="FS135" s="1341"/>
      <c r="FT135" s="1341"/>
      <c r="FU135" s="1341"/>
      <c r="FV135" s="1341"/>
      <c r="FW135" s="1341"/>
      <c r="FX135" s="1341"/>
      <c r="FY135" s="1341"/>
      <c r="FZ135" s="1341"/>
      <c r="GA135" s="1341"/>
      <c r="GB135" s="1341"/>
      <c r="GC135" s="1341"/>
      <c r="GD135" s="1341"/>
      <c r="GE135" s="1341"/>
      <c r="GF135" s="1341"/>
      <c r="GG135" s="1341"/>
      <c r="GH135" s="1341"/>
      <c r="GI135" s="1341"/>
      <c r="GJ135" s="1341"/>
      <c r="GK135" s="1341"/>
      <c r="GL135" s="1341"/>
      <c r="GM135" s="1341"/>
      <c r="GN135" s="1341"/>
      <c r="GO135" s="1341"/>
      <c r="GP135" s="1341"/>
      <c r="GQ135" s="1341"/>
      <c r="GR135" s="1341"/>
      <c r="GS135" s="1341"/>
      <c r="GT135" s="1341"/>
      <c r="GU135" s="1341"/>
      <c r="GV135" s="1341"/>
      <c r="GW135" s="1341"/>
      <c r="GX135" s="1341"/>
      <c r="GY135" s="1341"/>
      <c r="GZ135" s="1341"/>
      <c r="HA135" s="1341"/>
      <c r="HB135" s="1341"/>
      <c r="HC135" s="1341"/>
      <c r="HD135" s="1341"/>
      <c r="HE135" s="1341"/>
      <c r="HF135" s="1341"/>
      <c r="HG135" s="1341"/>
      <c r="HH135" s="1341"/>
      <c r="HI135" s="1341"/>
      <c r="HJ135" s="1341"/>
      <c r="HK135" s="1341"/>
      <c r="HL135" s="1341"/>
      <c r="HM135" s="1341"/>
      <c r="HN135" s="1341"/>
      <c r="HO135" s="1341"/>
      <c r="HP135" s="1341"/>
      <c r="HQ135" s="1341"/>
      <c r="HR135" s="1341"/>
      <c r="HS135" s="1341"/>
      <c r="HT135" s="1341"/>
      <c r="HU135" s="1341"/>
      <c r="HV135" s="1341"/>
      <c r="HW135" s="1341"/>
      <c r="HX135" s="1341"/>
      <c r="HY135" s="1341"/>
      <c r="HZ135" s="1341"/>
      <c r="IA135" s="1341"/>
      <c r="IB135" s="1341"/>
      <c r="IC135" s="1341"/>
      <c r="ID135" s="1341"/>
      <c r="IE135" s="1341"/>
      <c r="IF135" s="1341"/>
      <c r="IG135" s="1341"/>
      <c r="IH135" s="1341"/>
      <c r="II135" s="1341"/>
      <c r="IJ135" s="1341"/>
      <c r="IK135" s="1341"/>
    </row>
    <row r="136" spans="1:245" s="1281" customFormat="1" ht="28.5" customHeight="1">
      <c r="A136" s="1411"/>
      <c r="B136" s="1411"/>
      <c r="C136" s="1287"/>
      <c r="D136" s="2004" t="s">
        <v>211</v>
      </c>
      <c r="E136" s="2005"/>
      <c r="F136" s="2005"/>
      <c r="G136" s="2005"/>
      <c r="H136" s="2005"/>
      <c r="I136" s="2006"/>
      <c r="J136" s="1339"/>
      <c r="K136" s="1340"/>
      <c r="L136" s="1340"/>
      <c r="M136" s="1340"/>
      <c r="N136" s="1340"/>
      <c r="O136" s="1340"/>
      <c r="P136" s="1340"/>
      <c r="Q136" s="1340"/>
      <c r="R136" s="1340"/>
      <c r="S136" s="1340"/>
      <c r="T136" s="1340"/>
      <c r="U136" s="1340"/>
      <c r="V136" s="1340"/>
      <c r="W136" s="1340"/>
      <c r="X136" s="1340"/>
      <c r="Y136" s="1340"/>
      <c r="Z136" s="1340"/>
      <c r="AA136" s="1340"/>
      <c r="AB136" s="1340"/>
      <c r="AC136" s="1340"/>
      <c r="AD136" s="1340"/>
      <c r="AE136" s="1340"/>
      <c r="AF136" s="1340"/>
      <c r="AG136" s="1340"/>
      <c r="AH136" s="1341"/>
      <c r="AI136" s="1341"/>
      <c r="AJ136" s="1341"/>
      <c r="AK136" s="1341"/>
      <c r="AL136" s="1341"/>
      <c r="AM136" s="1341"/>
      <c r="AN136" s="1341"/>
      <c r="AO136" s="1341"/>
      <c r="AP136" s="1341"/>
      <c r="AQ136" s="1341"/>
      <c r="AR136" s="1341"/>
      <c r="AS136" s="1341"/>
      <c r="AT136" s="1341"/>
      <c r="AU136" s="1341"/>
      <c r="AV136" s="1341"/>
      <c r="AW136" s="1341"/>
      <c r="AX136" s="1341"/>
      <c r="AY136" s="1341"/>
      <c r="AZ136" s="1341"/>
      <c r="BA136" s="1341"/>
      <c r="BB136" s="1341"/>
      <c r="BC136" s="1341"/>
      <c r="BD136" s="1341"/>
      <c r="BE136" s="1341"/>
      <c r="BF136" s="1341"/>
      <c r="BG136" s="1341"/>
      <c r="BH136" s="1341"/>
      <c r="BI136" s="1341"/>
      <c r="BJ136" s="1341"/>
      <c r="BK136" s="1341"/>
      <c r="BL136" s="1341"/>
      <c r="BM136" s="1341"/>
      <c r="BN136" s="1341"/>
      <c r="BO136" s="1341"/>
      <c r="BP136" s="1341"/>
      <c r="BQ136" s="1341"/>
      <c r="BR136" s="1341"/>
      <c r="BS136" s="1341"/>
      <c r="BT136" s="1341"/>
      <c r="BU136" s="1341"/>
      <c r="BV136" s="1341"/>
      <c r="BW136" s="1341"/>
      <c r="BX136" s="1341"/>
      <c r="BY136" s="1341"/>
      <c r="BZ136" s="1341"/>
      <c r="CA136" s="1341"/>
      <c r="CB136" s="1341"/>
      <c r="CC136" s="1341"/>
      <c r="CD136" s="1341"/>
      <c r="CE136" s="1341"/>
      <c r="CF136" s="1341"/>
      <c r="CG136" s="1341"/>
      <c r="CH136" s="1341"/>
      <c r="CI136" s="1341"/>
      <c r="CJ136" s="1341"/>
      <c r="CK136" s="1341"/>
      <c r="CL136" s="1341"/>
      <c r="CM136" s="1341"/>
      <c r="CN136" s="1341"/>
      <c r="CO136" s="1341"/>
      <c r="CP136" s="1341"/>
      <c r="CQ136" s="1341"/>
      <c r="CR136" s="1341"/>
      <c r="CS136" s="1341"/>
      <c r="CT136" s="1341"/>
      <c r="CU136" s="1341"/>
      <c r="CV136" s="1341"/>
      <c r="CW136" s="1341"/>
      <c r="CX136" s="1341"/>
      <c r="CY136" s="1341"/>
      <c r="CZ136" s="1341"/>
      <c r="DA136" s="1341"/>
      <c r="DB136" s="1341"/>
      <c r="DC136" s="1341"/>
      <c r="DD136" s="1341"/>
      <c r="DE136" s="1341"/>
      <c r="DF136" s="1341"/>
      <c r="DG136" s="1341"/>
      <c r="DH136" s="1341"/>
      <c r="DI136" s="1341"/>
      <c r="DJ136" s="1341"/>
      <c r="DK136" s="1341"/>
      <c r="DL136" s="1341"/>
      <c r="DM136" s="1341"/>
      <c r="DN136" s="1341"/>
      <c r="DO136" s="1341"/>
      <c r="DP136" s="1341"/>
      <c r="DQ136" s="1341"/>
      <c r="DR136" s="1341"/>
      <c r="DS136" s="1341"/>
      <c r="DT136" s="1341"/>
      <c r="DU136" s="1341"/>
      <c r="DV136" s="1341"/>
      <c r="DW136" s="1341"/>
      <c r="DX136" s="1341"/>
      <c r="DY136" s="1341"/>
      <c r="DZ136" s="1341"/>
      <c r="EA136" s="1341"/>
      <c r="EB136" s="1341"/>
      <c r="EC136" s="1341"/>
      <c r="ED136" s="1341"/>
      <c r="EE136" s="1341"/>
      <c r="EF136" s="1341"/>
      <c r="EG136" s="1341"/>
      <c r="EH136" s="1341"/>
      <c r="EI136" s="1341"/>
      <c r="EJ136" s="1341"/>
      <c r="EK136" s="1341"/>
      <c r="EL136" s="1341"/>
      <c r="EM136" s="1341"/>
      <c r="EN136" s="1341"/>
      <c r="EO136" s="1341"/>
      <c r="EP136" s="1341"/>
      <c r="EQ136" s="1341"/>
      <c r="ER136" s="1341"/>
      <c r="ES136" s="1341"/>
      <c r="ET136" s="1341"/>
      <c r="EU136" s="1341"/>
      <c r="EV136" s="1341"/>
      <c r="EW136" s="1341"/>
      <c r="EX136" s="1341"/>
      <c r="EY136" s="1341"/>
      <c r="EZ136" s="1341"/>
      <c r="FA136" s="1341"/>
      <c r="FB136" s="1341"/>
      <c r="FC136" s="1341"/>
      <c r="FD136" s="1341"/>
      <c r="FE136" s="1341"/>
      <c r="FF136" s="1341"/>
      <c r="FG136" s="1341"/>
      <c r="FH136" s="1341"/>
      <c r="FI136" s="1341"/>
      <c r="FJ136" s="1341"/>
      <c r="FK136" s="1341"/>
      <c r="FL136" s="1341"/>
      <c r="FM136" s="1341"/>
      <c r="FN136" s="1341"/>
      <c r="FO136" s="1341"/>
      <c r="FP136" s="1341"/>
      <c r="FQ136" s="1341"/>
      <c r="FR136" s="1341"/>
      <c r="FS136" s="1341"/>
      <c r="FT136" s="1341"/>
      <c r="FU136" s="1341"/>
      <c r="FV136" s="1341"/>
      <c r="FW136" s="1341"/>
      <c r="FX136" s="1341"/>
      <c r="FY136" s="1341"/>
      <c r="FZ136" s="1341"/>
      <c r="GA136" s="1341"/>
      <c r="GB136" s="1341"/>
      <c r="GC136" s="1341"/>
      <c r="GD136" s="1341"/>
      <c r="GE136" s="1341"/>
      <c r="GF136" s="1341"/>
      <c r="GG136" s="1341"/>
      <c r="GH136" s="1341"/>
      <c r="GI136" s="1341"/>
      <c r="GJ136" s="1341"/>
      <c r="GK136" s="1341"/>
      <c r="GL136" s="1341"/>
      <c r="GM136" s="1341"/>
      <c r="GN136" s="1341"/>
      <c r="GO136" s="1341"/>
      <c r="GP136" s="1341"/>
      <c r="GQ136" s="1341"/>
      <c r="GR136" s="1341"/>
      <c r="GS136" s="1341"/>
      <c r="GT136" s="1341"/>
      <c r="GU136" s="1341"/>
      <c r="GV136" s="1341"/>
      <c r="GW136" s="1341"/>
      <c r="GX136" s="1341"/>
      <c r="GY136" s="1341"/>
      <c r="GZ136" s="1341"/>
      <c r="HA136" s="1341"/>
      <c r="HB136" s="1341"/>
      <c r="HC136" s="1341"/>
      <c r="HD136" s="1341"/>
      <c r="HE136" s="1341"/>
      <c r="HF136" s="1341"/>
      <c r="HG136" s="1341"/>
      <c r="HH136" s="1341"/>
      <c r="HI136" s="1341"/>
      <c r="HJ136" s="1341"/>
      <c r="HK136" s="1341"/>
      <c r="HL136" s="1341"/>
      <c r="HM136" s="1341"/>
      <c r="HN136" s="1341"/>
      <c r="HO136" s="1341"/>
      <c r="HP136" s="1341"/>
      <c r="HQ136" s="1341"/>
      <c r="HR136" s="1341"/>
      <c r="HS136" s="1341"/>
      <c r="HT136" s="1341"/>
      <c r="HU136" s="1341"/>
      <c r="HV136" s="1341"/>
      <c r="HW136" s="1341"/>
      <c r="HX136" s="1341"/>
      <c r="HY136" s="1341"/>
      <c r="HZ136" s="1341"/>
      <c r="IA136" s="1341"/>
      <c r="IB136" s="1341"/>
      <c r="IC136" s="1341"/>
      <c r="ID136" s="1341"/>
      <c r="IE136" s="1341"/>
      <c r="IF136" s="1341"/>
      <c r="IG136" s="1341"/>
      <c r="IH136" s="1341"/>
      <c r="II136" s="1341"/>
      <c r="IJ136" s="1341"/>
      <c r="IK136" s="1341"/>
    </row>
    <row r="137" spans="1:245" s="1281" customFormat="1" ht="58.5" customHeight="1">
      <c r="A137" s="1411"/>
      <c r="B137" s="1411"/>
      <c r="C137" s="1292">
        <v>2</v>
      </c>
      <c r="D137" s="1315" t="s">
        <v>297</v>
      </c>
      <c r="E137" s="1349">
        <v>2030</v>
      </c>
      <c r="F137" s="1316">
        <v>289000</v>
      </c>
      <c r="G137" s="1316">
        <v>247000</v>
      </c>
      <c r="H137" s="1350"/>
      <c r="I137" s="1351"/>
      <c r="J137" s="1339"/>
      <c r="K137" s="1340"/>
      <c r="L137" s="1340"/>
      <c r="M137" s="1340"/>
      <c r="N137" s="1340"/>
      <c r="O137" s="1340"/>
      <c r="P137" s="1340"/>
      <c r="Q137" s="1340"/>
      <c r="R137" s="1340"/>
      <c r="S137" s="1340"/>
      <c r="T137" s="1340"/>
      <c r="U137" s="1340"/>
      <c r="V137" s="1340"/>
      <c r="W137" s="1340"/>
      <c r="X137" s="1340"/>
      <c r="Y137" s="1340"/>
      <c r="Z137" s="1340"/>
      <c r="AA137" s="1340"/>
      <c r="AB137" s="1340"/>
      <c r="AC137" s="1340"/>
      <c r="AD137" s="1340"/>
      <c r="AE137" s="1340"/>
      <c r="AF137" s="1340"/>
      <c r="AG137" s="1340"/>
      <c r="AH137" s="1341"/>
      <c r="AI137" s="1341"/>
      <c r="AJ137" s="1341"/>
      <c r="AK137" s="1341"/>
      <c r="AL137" s="1341"/>
      <c r="AM137" s="1341"/>
      <c r="AN137" s="1341"/>
      <c r="AO137" s="1341"/>
      <c r="AP137" s="1341"/>
      <c r="AQ137" s="1341"/>
      <c r="AR137" s="1341"/>
      <c r="AS137" s="1341"/>
      <c r="AT137" s="1341"/>
      <c r="AU137" s="1341"/>
      <c r="AV137" s="1341"/>
      <c r="AW137" s="1341"/>
      <c r="AX137" s="1341"/>
      <c r="AY137" s="1341"/>
      <c r="AZ137" s="1341"/>
      <c r="BA137" s="1341"/>
      <c r="BB137" s="1341"/>
      <c r="BC137" s="1341"/>
      <c r="BD137" s="1341"/>
      <c r="BE137" s="1341"/>
      <c r="BF137" s="1341"/>
      <c r="BG137" s="1341"/>
      <c r="BH137" s="1341"/>
      <c r="BI137" s="1341"/>
      <c r="BJ137" s="1341"/>
      <c r="BK137" s="1341"/>
      <c r="BL137" s="1341"/>
      <c r="BM137" s="1341"/>
      <c r="BN137" s="1341"/>
      <c r="BO137" s="1341"/>
      <c r="BP137" s="1341"/>
      <c r="BQ137" s="1341"/>
      <c r="BR137" s="1341"/>
      <c r="BS137" s="1341"/>
      <c r="BT137" s="1341"/>
      <c r="BU137" s="1341"/>
      <c r="BV137" s="1341"/>
      <c r="BW137" s="1341"/>
      <c r="BX137" s="1341"/>
      <c r="BY137" s="1341"/>
      <c r="BZ137" s="1341"/>
      <c r="CA137" s="1341"/>
      <c r="CB137" s="1341"/>
      <c r="CC137" s="1341"/>
      <c r="CD137" s="1341"/>
      <c r="CE137" s="1341"/>
      <c r="CF137" s="1341"/>
      <c r="CG137" s="1341"/>
      <c r="CH137" s="1341"/>
      <c r="CI137" s="1341"/>
      <c r="CJ137" s="1341"/>
      <c r="CK137" s="1341"/>
      <c r="CL137" s="1341"/>
      <c r="CM137" s="1341"/>
      <c r="CN137" s="1341"/>
      <c r="CO137" s="1341"/>
      <c r="CP137" s="1341"/>
      <c r="CQ137" s="1341"/>
      <c r="CR137" s="1341"/>
      <c r="CS137" s="1341"/>
      <c r="CT137" s="1341"/>
      <c r="CU137" s="1341"/>
      <c r="CV137" s="1341"/>
      <c r="CW137" s="1341"/>
      <c r="CX137" s="1341"/>
      <c r="CY137" s="1341"/>
      <c r="CZ137" s="1341"/>
      <c r="DA137" s="1341"/>
      <c r="DB137" s="1341"/>
      <c r="DC137" s="1341"/>
      <c r="DD137" s="1341"/>
      <c r="DE137" s="1341"/>
      <c r="DF137" s="1341"/>
      <c r="DG137" s="1341"/>
      <c r="DH137" s="1341"/>
      <c r="DI137" s="1341"/>
      <c r="DJ137" s="1341"/>
      <c r="DK137" s="1341"/>
      <c r="DL137" s="1341"/>
      <c r="DM137" s="1341"/>
      <c r="DN137" s="1341"/>
      <c r="DO137" s="1341"/>
      <c r="DP137" s="1341"/>
      <c r="DQ137" s="1341"/>
      <c r="DR137" s="1341"/>
      <c r="DS137" s="1341"/>
      <c r="DT137" s="1341"/>
      <c r="DU137" s="1341"/>
      <c r="DV137" s="1341"/>
      <c r="DW137" s="1341"/>
      <c r="DX137" s="1341"/>
      <c r="DY137" s="1341"/>
      <c r="DZ137" s="1341"/>
      <c r="EA137" s="1341"/>
      <c r="EB137" s="1341"/>
      <c r="EC137" s="1341"/>
      <c r="ED137" s="1341"/>
      <c r="EE137" s="1341"/>
      <c r="EF137" s="1341"/>
      <c r="EG137" s="1341"/>
      <c r="EH137" s="1341"/>
      <c r="EI137" s="1341"/>
      <c r="EJ137" s="1341"/>
      <c r="EK137" s="1341"/>
      <c r="EL137" s="1341"/>
      <c r="EM137" s="1341"/>
      <c r="EN137" s="1341"/>
      <c r="EO137" s="1341"/>
      <c r="EP137" s="1341"/>
      <c r="EQ137" s="1341"/>
      <c r="ER137" s="1341"/>
      <c r="ES137" s="1341"/>
      <c r="ET137" s="1341"/>
      <c r="EU137" s="1341"/>
      <c r="EV137" s="1341"/>
      <c r="EW137" s="1341"/>
      <c r="EX137" s="1341"/>
      <c r="EY137" s="1341"/>
      <c r="EZ137" s="1341"/>
      <c r="FA137" s="1341"/>
      <c r="FB137" s="1341"/>
      <c r="FC137" s="1341"/>
      <c r="FD137" s="1341"/>
      <c r="FE137" s="1341"/>
      <c r="FF137" s="1341"/>
      <c r="FG137" s="1341"/>
      <c r="FH137" s="1341"/>
      <c r="FI137" s="1341"/>
      <c r="FJ137" s="1341"/>
      <c r="FK137" s="1341"/>
      <c r="FL137" s="1341"/>
      <c r="FM137" s="1341"/>
      <c r="FN137" s="1341"/>
      <c r="FO137" s="1341"/>
      <c r="FP137" s="1341"/>
      <c r="FQ137" s="1341"/>
      <c r="FR137" s="1341"/>
      <c r="FS137" s="1341"/>
      <c r="FT137" s="1341"/>
      <c r="FU137" s="1341"/>
      <c r="FV137" s="1341"/>
      <c r="FW137" s="1341"/>
      <c r="FX137" s="1341"/>
      <c r="FY137" s="1341"/>
      <c r="FZ137" s="1341"/>
      <c r="GA137" s="1341"/>
      <c r="GB137" s="1341"/>
      <c r="GC137" s="1341"/>
      <c r="GD137" s="1341"/>
      <c r="GE137" s="1341"/>
      <c r="GF137" s="1341"/>
      <c r="GG137" s="1341"/>
      <c r="GH137" s="1341"/>
      <c r="GI137" s="1341"/>
      <c r="GJ137" s="1341"/>
      <c r="GK137" s="1341"/>
      <c r="GL137" s="1341"/>
      <c r="GM137" s="1341"/>
      <c r="GN137" s="1341"/>
      <c r="GO137" s="1341"/>
      <c r="GP137" s="1341"/>
      <c r="GQ137" s="1341"/>
      <c r="GR137" s="1341"/>
      <c r="GS137" s="1341"/>
      <c r="GT137" s="1341"/>
      <c r="GU137" s="1341"/>
      <c r="GV137" s="1341"/>
      <c r="GW137" s="1341"/>
      <c r="GX137" s="1341"/>
      <c r="GY137" s="1341"/>
      <c r="GZ137" s="1341"/>
      <c r="HA137" s="1341"/>
      <c r="HB137" s="1341"/>
      <c r="HC137" s="1341"/>
      <c r="HD137" s="1341"/>
      <c r="HE137" s="1341"/>
      <c r="HF137" s="1341"/>
      <c r="HG137" s="1341"/>
      <c r="HH137" s="1341"/>
      <c r="HI137" s="1341"/>
      <c r="HJ137" s="1341"/>
      <c r="HK137" s="1341"/>
      <c r="HL137" s="1341"/>
      <c r="HM137" s="1341"/>
      <c r="HN137" s="1341"/>
      <c r="HO137" s="1341"/>
      <c r="HP137" s="1341"/>
      <c r="HQ137" s="1341"/>
      <c r="HR137" s="1341"/>
      <c r="HS137" s="1341"/>
      <c r="HT137" s="1341"/>
      <c r="HU137" s="1341"/>
      <c r="HV137" s="1341"/>
      <c r="HW137" s="1341"/>
      <c r="HX137" s="1341"/>
      <c r="HY137" s="1341"/>
      <c r="HZ137" s="1341"/>
      <c r="IA137" s="1341"/>
      <c r="IB137" s="1341"/>
      <c r="IC137" s="1341"/>
      <c r="ID137" s="1341"/>
      <c r="IE137" s="1341"/>
      <c r="IF137" s="1341"/>
      <c r="IG137" s="1341"/>
      <c r="IH137" s="1341"/>
      <c r="II137" s="1341"/>
      <c r="IJ137" s="1341"/>
      <c r="IK137" s="1341"/>
    </row>
    <row r="138" spans="1:245" s="1281" customFormat="1" ht="28.5" customHeight="1">
      <c r="A138" s="1411"/>
      <c r="B138" s="1411"/>
      <c r="C138" s="1287"/>
      <c r="D138" s="2004" t="s">
        <v>211</v>
      </c>
      <c r="E138" s="2005"/>
      <c r="F138" s="2005"/>
      <c r="G138" s="2005"/>
      <c r="H138" s="2005"/>
      <c r="I138" s="2006"/>
      <c r="J138" s="1339"/>
      <c r="K138" s="1340"/>
      <c r="L138" s="1340"/>
      <c r="M138" s="1340"/>
      <c r="N138" s="1340"/>
      <c r="O138" s="1340"/>
      <c r="P138" s="1340"/>
      <c r="Q138" s="1340"/>
      <c r="R138" s="1340"/>
      <c r="S138" s="1340"/>
      <c r="T138" s="1340"/>
      <c r="U138" s="1340"/>
      <c r="V138" s="1340"/>
      <c r="W138" s="1340"/>
      <c r="X138" s="1340"/>
      <c r="Y138" s="1340"/>
      <c r="Z138" s="1340"/>
      <c r="AA138" s="1340"/>
      <c r="AB138" s="1340"/>
      <c r="AC138" s="1340"/>
      <c r="AD138" s="1340"/>
      <c r="AE138" s="1340"/>
      <c r="AF138" s="1340"/>
      <c r="AG138" s="1340"/>
      <c r="AH138" s="1341"/>
      <c r="AI138" s="1341"/>
      <c r="AJ138" s="1341"/>
      <c r="AK138" s="1341"/>
      <c r="AL138" s="1341"/>
      <c r="AM138" s="1341"/>
      <c r="AN138" s="1341"/>
      <c r="AO138" s="1341"/>
      <c r="AP138" s="1341"/>
      <c r="AQ138" s="1341"/>
      <c r="AR138" s="1341"/>
      <c r="AS138" s="1341"/>
      <c r="AT138" s="1341"/>
      <c r="AU138" s="1341"/>
      <c r="AV138" s="1341"/>
      <c r="AW138" s="1341"/>
      <c r="AX138" s="1341"/>
      <c r="AY138" s="1341"/>
      <c r="AZ138" s="1341"/>
      <c r="BA138" s="1341"/>
      <c r="BB138" s="1341"/>
      <c r="BC138" s="1341"/>
      <c r="BD138" s="1341"/>
      <c r="BE138" s="1341"/>
      <c r="BF138" s="1341"/>
      <c r="BG138" s="1341"/>
      <c r="BH138" s="1341"/>
      <c r="BI138" s="1341"/>
      <c r="BJ138" s="1341"/>
      <c r="BK138" s="1341"/>
      <c r="BL138" s="1341"/>
      <c r="BM138" s="1341"/>
      <c r="BN138" s="1341"/>
      <c r="BO138" s="1341"/>
      <c r="BP138" s="1341"/>
      <c r="BQ138" s="1341"/>
      <c r="BR138" s="1341"/>
      <c r="BS138" s="1341"/>
      <c r="BT138" s="1341"/>
      <c r="BU138" s="1341"/>
      <c r="BV138" s="1341"/>
      <c r="BW138" s="1341"/>
      <c r="BX138" s="1341"/>
      <c r="BY138" s="1341"/>
      <c r="BZ138" s="1341"/>
      <c r="CA138" s="1341"/>
      <c r="CB138" s="1341"/>
      <c r="CC138" s="1341"/>
      <c r="CD138" s="1341"/>
      <c r="CE138" s="1341"/>
      <c r="CF138" s="1341"/>
      <c r="CG138" s="1341"/>
      <c r="CH138" s="1341"/>
      <c r="CI138" s="1341"/>
      <c r="CJ138" s="1341"/>
      <c r="CK138" s="1341"/>
      <c r="CL138" s="1341"/>
      <c r="CM138" s="1341"/>
      <c r="CN138" s="1341"/>
      <c r="CO138" s="1341"/>
      <c r="CP138" s="1341"/>
      <c r="CQ138" s="1341"/>
      <c r="CR138" s="1341"/>
      <c r="CS138" s="1341"/>
      <c r="CT138" s="1341"/>
      <c r="CU138" s="1341"/>
      <c r="CV138" s="1341"/>
      <c r="CW138" s="1341"/>
      <c r="CX138" s="1341"/>
      <c r="CY138" s="1341"/>
      <c r="CZ138" s="1341"/>
      <c r="DA138" s="1341"/>
      <c r="DB138" s="1341"/>
      <c r="DC138" s="1341"/>
      <c r="DD138" s="1341"/>
      <c r="DE138" s="1341"/>
      <c r="DF138" s="1341"/>
      <c r="DG138" s="1341"/>
      <c r="DH138" s="1341"/>
      <c r="DI138" s="1341"/>
      <c r="DJ138" s="1341"/>
      <c r="DK138" s="1341"/>
      <c r="DL138" s="1341"/>
      <c r="DM138" s="1341"/>
      <c r="DN138" s="1341"/>
      <c r="DO138" s="1341"/>
      <c r="DP138" s="1341"/>
      <c r="DQ138" s="1341"/>
      <c r="DR138" s="1341"/>
      <c r="DS138" s="1341"/>
      <c r="DT138" s="1341"/>
      <c r="DU138" s="1341"/>
      <c r="DV138" s="1341"/>
      <c r="DW138" s="1341"/>
      <c r="DX138" s="1341"/>
      <c r="DY138" s="1341"/>
      <c r="DZ138" s="1341"/>
      <c r="EA138" s="1341"/>
      <c r="EB138" s="1341"/>
      <c r="EC138" s="1341"/>
      <c r="ED138" s="1341"/>
      <c r="EE138" s="1341"/>
      <c r="EF138" s="1341"/>
      <c r="EG138" s="1341"/>
      <c r="EH138" s="1341"/>
      <c r="EI138" s="1341"/>
      <c r="EJ138" s="1341"/>
      <c r="EK138" s="1341"/>
      <c r="EL138" s="1341"/>
      <c r="EM138" s="1341"/>
      <c r="EN138" s="1341"/>
      <c r="EO138" s="1341"/>
      <c r="EP138" s="1341"/>
      <c r="EQ138" s="1341"/>
      <c r="ER138" s="1341"/>
      <c r="ES138" s="1341"/>
      <c r="ET138" s="1341"/>
      <c r="EU138" s="1341"/>
      <c r="EV138" s="1341"/>
      <c r="EW138" s="1341"/>
      <c r="EX138" s="1341"/>
      <c r="EY138" s="1341"/>
      <c r="EZ138" s="1341"/>
      <c r="FA138" s="1341"/>
      <c r="FB138" s="1341"/>
      <c r="FC138" s="1341"/>
      <c r="FD138" s="1341"/>
      <c r="FE138" s="1341"/>
      <c r="FF138" s="1341"/>
      <c r="FG138" s="1341"/>
      <c r="FH138" s="1341"/>
      <c r="FI138" s="1341"/>
      <c r="FJ138" s="1341"/>
      <c r="FK138" s="1341"/>
      <c r="FL138" s="1341"/>
      <c r="FM138" s="1341"/>
      <c r="FN138" s="1341"/>
      <c r="FO138" s="1341"/>
      <c r="FP138" s="1341"/>
      <c r="FQ138" s="1341"/>
      <c r="FR138" s="1341"/>
      <c r="FS138" s="1341"/>
      <c r="FT138" s="1341"/>
      <c r="FU138" s="1341"/>
      <c r="FV138" s="1341"/>
      <c r="FW138" s="1341"/>
      <c r="FX138" s="1341"/>
      <c r="FY138" s="1341"/>
      <c r="FZ138" s="1341"/>
      <c r="GA138" s="1341"/>
      <c r="GB138" s="1341"/>
      <c r="GC138" s="1341"/>
      <c r="GD138" s="1341"/>
      <c r="GE138" s="1341"/>
      <c r="GF138" s="1341"/>
      <c r="GG138" s="1341"/>
      <c r="GH138" s="1341"/>
      <c r="GI138" s="1341"/>
      <c r="GJ138" s="1341"/>
      <c r="GK138" s="1341"/>
      <c r="GL138" s="1341"/>
      <c r="GM138" s="1341"/>
      <c r="GN138" s="1341"/>
      <c r="GO138" s="1341"/>
      <c r="GP138" s="1341"/>
      <c r="GQ138" s="1341"/>
      <c r="GR138" s="1341"/>
      <c r="GS138" s="1341"/>
      <c r="GT138" s="1341"/>
      <c r="GU138" s="1341"/>
      <c r="GV138" s="1341"/>
      <c r="GW138" s="1341"/>
      <c r="GX138" s="1341"/>
      <c r="GY138" s="1341"/>
      <c r="GZ138" s="1341"/>
      <c r="HA138" s="1341"/>
      <c r="HB138" s="1341"/>
      <c r="HC138" s="1341"/>
      <c r="HD138" s="1341"/>
      <c r="HE138" s="1341"/>
      <c r="HF138" s="1341"/>
      <c r="HG138" s="1341"/>
      <c r="HH138" s="1341"/>
      <c r="HI138" s="1341"/>
      <c r="HJ138" s="1341"/>
      <c r="HK138" s="1341"/>
      <c r="HL138" s="1341"/>
      <c r="HM138" s="1341"/>
      <c r="HN138" s="1341"/>
      <c r="HO138" s="1341"/>
      <c r="HP138" s="1341"/>
      <c r="HQ138" s="1341"/>
      <c r="HR138" s="1341"/>
      <c r="HS138" s="1341"/>
      <c r="HT138" s="1341"/>
      <c r="HU138" s="1341"/>
      <c r="HV138" s="1341"/>
      <c r="HW138" s="1341"/>
      <c r="HX138" s="1341"/>
      <c r="HY138" s="1341"/>
      <c r="HZ138" s="1341"/>
      <c r="IA138" s="1341"/>
      <c r="IB138" s="1341"/>
      <c r="IC138" s="1341"/>
      <c r="ID138" s="1341"/>
      <c r="IE138" s="1341"/>
      <c r="IF138" s="1341"/>
      <c r="IG138" s="1341"/>
      <c r="IH138" s="1341"/>
      <c r="II138" s="1341"/>
      <c r="IJ138" s="1341"/>
      <c r="IK138" s="1341"/>
    </row>
    <row r="139" spans="1:10" s="1268" customFormat="1" ht="45.75" customHeight="1">
      <c r="A139" s="1304"/>
      <c r="B139" s="1298">
        <v>85219</v>
      </c>
      <c r="C139" s="1271"/>
      <c r="D139" s="1299" t="s">
        <v>88</v>
      </c>
      <c r="E139" s="1300"/>
      <c r="F139" s="1301">
        <f>F140</f>
        <v>321000</v>
      </c>
      <c r="G139" s="1301">
        <f>SUM(G140:G140)</f>
        <v>294000</v>
      </c>
      <c r="H139" s="1301">
        <f>H140</f>
        <v>0</v>
      </c>
      <c r="I139" s="1301">
        <f>I140</f>
        <v>0</v>
      </c>
      <c r="J139" s="1267"/>
    </row>
    <row r="140" spans="1:245" s="1281" customFormat="1" ht="59.25" customHeight="1">
      <c r="A140" s="1411"/>
      <c r="B140" s="1411"/>
      <c r="C140" s="1283">
        <v>1</v>
      </c>
      <c r="D140" s="1315" t="s">
        <v>297</v>
      </c>
      <c r="E140" s="1285">
        <v>2030</v>
      </c>
      <c r="F140" s="1286">
        <v>321000</v>
      </c>
      <c r="G140" s="1286">
        <v>294000</v>
      </c>
      <c r="H140" s="1286"/>
      <c r="I140" s="1286"/>
      <c r="J140" s="1339"/>
      <c r="K140" s="1340"/>
      <c r="L140" s="1340"/>
      <c r="M140" s="1340"/>
      <c r="N140" s="1340"/>
      <c r="O140" s="1340"/>
      <c r="P140" s="1340"/>
      <c r="Q140" s="1340"/>
      <c r="R140" s="1340"/>
      <c r="S140" s="1340"/>
      <c r="T140" s="1340"/>
      <c r="U140" s="1340"/>
      <c r="V140" s="1340"/>
      <c r="W140" s="1340"/>
      <c r="X140" s="1340"/>
      <c r="Y140" s="1340"/>
      <c r="Z140" s="1340"/>
      <c r="AA140" s="1340"/>
      <c r="AB140" s="1340"/>
      <c r="AC140" s="1340"/>
      <c r="AD140" s="1340"/>
      <c r="AE140" s="1340"/>
      <c r="AF140" s="1340"/>
      <c r="AG140" s="1340"/>
      <c r="AH140" s="1341"/>
      <c r="AI140" s="1341"/>
      <c r="AJ140" s="1341"/>
      <c r="AK140" s="1341"/>
      <c r="AL140" s="1341"/>
      <c r="AM140" s="1341"/>
      <c r="AN140" s="1341"/>
      <c r="AO140" s="1341"/>
      <c r="AP140" s="1341"/>
      <c r="AQ140" s="1341"/>
      <c r="AR140" s="1341"/>
      <c r="AS140" s="1341"/>
      <c r="AT140" s="1341"/>
      <c r="AU140" s="1341"/>
      <c r="AV140" s="1341"/>
      <c r="AW140" s="1341"/>
      <c r="AX140" s="1341"/>
      <c r="AY140" s="1341"/>
      <c r="AZ140" s="1341"/>
      <c r="BA140" s="1341"/>
      <c r="BB140" s="1341"/>
      <c r="BC140" s="1341"/>
      <c r="BD140" s="1341"/>
      <c r="BE140" s="1341"/>
      <c r="BF140" s="1341"/>
      <c r="BG140" s="1341"/>
      <c r="BH140" s="1341"/>
      <c r="BI140" s="1341"/>
      <c r="BJ140" s="1341"/>
      <c r="BK140" s="1341"/>
      <c r="BL140" s="1341"/>
      <c r="BM140" s="1341"/>
      <c r="BN140" s="1341"/>
      <c r="BO140" s="1341"/>
      <c r="BP140" s="1341"/>
      <c r="BQ140" s="1341"/>
      <c r="BR140" s="1341"/>
      <c r="BS140" s="1341"/>
      <c r="BT140" s="1341"/>
      <c r="BU140" s="1341"/>
      <c r="BV140" s="1341"/>
      <c r="BW140" s="1341"/>
      <c r="BX140" s="1341"/>
      <c r="BY140" s="1341"/>
      <c r="BZ140" s="1341"/>
      <c r="CA140" s="1341"/>
      <c r="CB140" s="1341"/>
      <c r="CC140" s="1341"/>
      <c r="CD140" s="1341"/>
      <c r="CE140" s="1341"/>
      <c r="CF140" s="1341"/>
      <c r="CG140" s="1341"/>
      <c r="CH140" s="1341"/>
      <c r="CI140" s="1341"/>
      <c r="CJ140" s="1341"/>
      <c r="CK140" s="1341"/>
      <c r="CL140" s="1341"/>
      <c r="CM140" s="1341"/>
      <c r="CN140" s="1341"/>
      <c r="CO140" s="1341"/>
      <c r="CP140" s="1341"/>
      <c r="CQ140" s="1341"/>
      <c r="CR140" s="1341"/>
      <c r="CS140" s="1341"/>
      <c r="CT140" s="1341"/>
      <c r="CU140" s="1341"/>
      <c r="CV140" s="1341"/>
      <c r="CW140" s="1341"/>
      <c r="CX140" s="1341"/>
      <c r="CY140" s="1341"/>
      <c r="CZ140" s="1341"/>
      <c r="DA140" s="1341"/>
      <c r="DB140" s="1341"/>
      <c r="DC140" s="1341"/>
      <c r="DD140" s="1341"/>
      <c r="DE140" s="1341"/>
      <c r="DF140" s="1341"/>
      <c r="DG140" s="1341"/>
      <c r="DH140" s="1341"/>
      <c r="DI140" s="1341"/>
      <c r="DJ140" s="1341"/>
      <c r="DK140" s="1341"/>
      <c r="DL140" s="1341"/>
      <c r="DM140" s="1341"/>
      <c r="DN140" s="1341"/>
      <c r="DO140" s="1341"/>
      <c r="DP140" s="1341"/>
      <c r="DQ140" s="1341"/>
      <c r="DR140" s="1341"/>
      <c r="DS140" s="1341"/>
      <c r="DT140" s="1341"/>
      <c r="DU140" s="1341"/>
      <c r="DV140" s="1341"/>
      <c r="DW140" s="1341"/>
      <c r="DX140" s="1341"/>
      <c r="DY140" s="1341"/>
      <c r="DZ140" s="1341"/>
      <c r="EA140" s="1341"/>
      <c r="EB140" s="1341"/>
      <c r="EC140" s="1341"/>
      <c r="ED140" s="1341"/>
      <c r="EE140" s="1341"/>
      <c r="EF140" s="1341"/>
      <c r="EG140" s="1341"/>
      <c r="EH140" s="1341"/>
      <c r="EI140" s="1341"/>
      <c r="EJ140" s="1341"/>
      <c r="EK140" s="1341"/>
      <c r="EL140" s="1341"/>
      <c r="EM140" s="1341"/>
      <c r="EN140" s="1341"/>
      <c r="EO140" s="1341"/>
      <c r="EP140" s="1341"/>
      <c r="EQ140" s="1341"/>
      <c r="ER140" s="1341"/>
      <c r="ES140" s="1341"/>
      <c r="ET140" s="1341"/>
      <c r="EU140" s="1341"/>
      <c r="EV140" s="1341"/>
      <c r="EW140" s="1341"/>
      <c r="EX140" s="1341"/>
      <c r="EY140" s="1341"/>
      <c r="EZ140" s="1341"/>
      <c r="FA140" s="1341"/>
      <c r="FB140" s="1341"/>
      <c r="FC140" s="1341"/>
      <c r="FD140" s="1341"/>
      <c r="FE140" s="1341"/>
      <c r="FF140" s="1341"/>
      <c r="FG140" s="1341"/>
      <c r="FH140" s="1341"/>
      <c r="FI140" s="1341"/>
      <c r="FJ140" s="1341"/>
      <c r="FK140" s="1341"/>
      <c r="FL140" s="1341"/>
      <c r="FM140" s="1341"/>
      <c r="FN140" s="1341"/>
      <c r="FO140" s="1341"/>
      <c r="FP140" s="1341"/>
      <c r="FQ140" s="1341"/>
      <c r="FR140" s="1341"/>
      <c r="FS140" s="1341"/>
      <c r="FT140" s="1341"/>
      <c r="FU140" s="1341"/>
      <c r="FV140" s="1341"/>
      <c r="FW140" s="1341"/>
      <c r="FX140" s="1341"/>
      <c r="FY140" s="1341"/>
      <c r="FZ140" s="1341"/>
      <c r="GA140" s="1341"/>
      <c r="GB140" s="1341"/>
      <c r="GC140" s="1341"/>
      <c r="GD140" s="1341"/>
      <c r="GE140" s="1341"/>
      <c r="GF140" s="1341"/>
      <c r="GG140" s="1341"/>
      <c r="GH140" s="1341"/>
      <c r="GI140" s="1341"/>
      <c r="GJ140" s="1341"/>
      <c r="GK140" s="1341"/>
      <c r="GL140" s="1341"/>
      <c r="GM140" s="1341"/>
      <c r="GN140" s="1341"/>
      <c r="GO140" s="1341"/>
      <c r="GP140" s="1341"/>
      <c r="GQ140" s="1341"/>
      <c r="GR140" s="1341"/>
      <c r="GS140" s="1341"/>
      <c r="GT140" s="1341"/>
      <c r="GU140" s="1341"/>
      <c r="GV140" s="1341"/>
      <c r="GW140" s="1341"/>
      <c r="GX140" s="1341"/>
      <c r="GY140" s="1341"/>
      <c r="GZ140" s="1341"/>
      <c r="HA140" s="1341"/>
      <c r="HB140" s="1341"/>
      <c r="HC140" s="1341"/>
      <c r="HD140" s="1341"/>
      <c r="HE140" s="1341"/>
      <c r="HF140" s="1341"/>
      <c r="HG140" s="1341"/>
      <c r="HH140" s="1341"/>
      <c r="HI140" s="1341"/>
      <c r="HJ140" s="1341"/>
      <c r="HK140" s="1341"/>
      <c r="HL140" s="1341"/>
      <c r="HM140" s="1341"/>
      <c r="HN140" s="1341"/>
      <c r="HO140" s="1341"/>
      <c r="HP140" s="1341"/>
      <c r="HQ140" s="1341"/>
      <c r="HR140" s="1341"/>
      <c r="HS140" s="1341"/>
      <c r="HT140" s="1341"/>
      <c r="HU140" s="1341"/>
      <c r="HV140" s="1341"/>
      <c r="HW140" s="1341"/>
      <c r="HX140" s="1341"/>
      <c r="HY140" s="1341"/>
      <c r="HZ140" s="1341"/>
      <c r="IA140" s="1341"/>
      <c r="IB140" s="1341"/>
      <c r="IC140" s="1341"/>
      <c r="ID140" s="1341"/>
      <c r="IE140" s="1341"/>
      <c r="IF140" s="1341"/>
      <c r="IG140" s="1341"/>
      <c r="IH140" s="1341"/>
      <c r="II140" s="1341"/>
      <c r="IJ140" s="1341"/>
      <c r="IK140" s="1341"/>
    </row>
    <row r="141" spans="1:245" s="1281" customFormat="1" ht="31.5" customHeight="1">
      <c r="A141" s="1411"/>
      <c r="B141" s="1411"/>
      <c r="C141" s="1287"/>
      <c r="D141" s="2004" t="s">
        <v>211</v>
      </c>
      <c r="E141" s="2005"/>
      <c r="F141" s="2005"/>
      <c r="G141" s="2005"/>
      <c r="H141" s="2005"/>
      <c r="I141" s="2006"/>
      <c r="J141" s="1339"/>
      <c r="K141" s="1340"/>
      <c r="L141" s="1340"/>
      <c r="M141" s="1340"/>
      <c r="N141" s="1340"/>
      <c r="O141" s="1340"/>
      <c r="P141" s="1340"/>
      <c r="Q141" s="1340"/>
      <c r="R141" s="1340"/>
      <c r="S141" s="1340"/>
      <c r="T141" s="1340"/>
      <c r="U141" s="1340"/>
      <c r="V141" s="1340"/>
      <c r="W141" s="1340"/>
      <c r="X141" s="1340"/>
      <c r="Y141" s="1340"/>
      <c r="Z141" s="1340"/>
      <c r="AA141" s="1340"/>
      <c r="AB141" s="1340"/>
      <c r="AC141" s="1340"/>
      <c r="AD141" s="1340"/>
      <c r="AE141" s="1340"/>
      <c r="AF141" s="1340"/>
      <c r="AG141" s="1340"/>
      <c r="AH141" s="1341"/>
      <c r="AI141" s="1341"/>
      <c r="AJ141" s="1341"/>
      <c r="AK141" s="1341"/>
      <c r="AL141" s="1341"/>
      <c r="AM141" s="1341"/>
      <c r="AN141" s="1341"/>
      <c r="AO141" s="1341"/>
      <c r="AP141" s="1341"/>
      <c r="AQ141" s="1341"/>
      <c r="AR141" s="1341"/>
      <c r="AS141" s="1341"/>
      <c r="AT141" s="1341"/>
      <c r="AU141" s="1341"/>
      <c r="AV141" s="1341"/>
      <c r="AW141" s="1341"/>
      <c r="AX141" s="1341"/>
      <c r="AY141" s="1341"/>
      <c r="AZ141" s="1341"/>
      <c r="BA141" s="1341"/>
      <c r="BB141" s="1341"/>
      <c r="BC141" s="1341"/>
      <c r="BD141" s="1341"/>
      <c r="BE141" s="1341"/>
      <c r="BF141" s="1341"/>
      <c r="BG141" s="1341"/>
      <c r="BH141" s="1341"/>
      <c r="BI141" s="1341"/>
      <c r="BJ141" s="1341"/>
      <c r="BK141" s="1341"/>
      <c r="BL141" s="1341"/>
      <c r="BM141" s="1341"/>
      <c r="BN141" s="1341"/>
      <c r="BO141" s="1341"/>
      <c r="BP141" s="1341"/>
      <c r="BQ141" s="1341"/>
      <c r="BR141" s="1341"/>
      <c r="BS141" s="1341"/>
      <c r="BT141" s="1341"/>
      <c r="BU141" s="1341"/>
      <c r="BV141" s="1341"/>
      <c r="BW141" s="1341"/>
      <c r="BX141" s="1341"/>
      <c r="BY141" s="1341"/>
      <c r="BZ141" s="1341"/>
      <c r="CA141" s="1341"/>
      <c r="CB141" s="1341"/>
      <c r="CC141" s="1341"/>
      <c r="CD141" s="1341"/>
      <c r="CE141" s="1341"/>
      <c r="CF141" s="1341"/>
      <c r="CG141" s="1341"/>
      <c r="CH141" s="1341"/>
      <c r="CI141" s="1341"/>
      <c r="CJ141" s="1341"/>
      <c r="CK141" s="1341"/>
      <c r="CL141" s="1341"/>
      <c r="CM141" s="1341"/>
      <c r="CN141" s="1341"/>
      <c r="CO141" s="1341"/>
      <c r="CP141" s="1341"/>
      <c r="CQ141" s="1341"/>
      <c r="CR141" s="1341"/>
      <c r="CS141" s="1341"/>
      <c r="CT141" s="1341"/>
      <c r="CU141" s="1341"/>
      <c r="CV141" s="1341"/>
      <c r="CW141" s="1341"/>
      <c r="CX141" s="1341"/>
      <c r="CY141" s="1341"/>
      <c r="CZ141" s="1341"/>
      <c r="DA141" s="1341"/>
      <c r="DB141" s="1341"/>
      <c r="DC141" s="1341"/>
      <c r="DD141" s="1341"/>
      <c r="DE141" s="1341"/>
      <c r="DF141" s="1341"/>
      <c r="DG141" s="1341"/>
      <c r="DH141" s="1341"/>
      <c r="DI141" s="1341"/>
      <c r="DJ141" s="1341"/>
      <c r="DK141" s="1341"/>
      <c r="DL141" s="1341"/>
      <c r="DM141" s="1341"/>
      <c r="DN141" s="1341"/>
      <c r="DO141" s="1341"/>
      <c r="DP141" s="1341"/>
      <c r="DQ141" s="1341"/>
      <c r="DR141" s="1341"/>
      <c r="DS141" s="1341"/>
      <c r="DT141" s="1341"/>
      <c r="DU141" s="1341"/>
      <c r="DV141" s="1341"/>
      <c r="DW141" s="1341"/>
      <c r="DX141" s="1341"/>
      <c r="DY141" s="1341"/>
      <c r="DZ141" s="1341"/>
      <c r="EA141" s="1341"/>
      <c r="EB141" s="1341"/>
      <c r="EC141" s="1341"/>
      <c r="ED141" s="1341"/>
      <c r="EE141" s="1341"/>
      <c r="EF141" s="1341"/>
      <c r="EG141" s="1341"/>
      <c r="EH141" s="1341"/>
      <c r="EI141" s="1341"/>
      <c r="EJ141" s="1341"/>
      <c r="EK141" s="1341"/>
      <c r="EL141" s="1341"/>
      <c r="EM141" s="1341"/>
      <c r="EN141" s="1341"/>
      <c r="EO141" s="1341"/>
      <c r="EP141" s="1341"/>
      <c r="EQ141" s="1341"/>
      <c r="ER141" s="1341"/>
      <c r="ES141" s="1341"/>
      <c r="ET141" s="1341"/>
      <c r="EU141" s="1341"/>
      <c r="EV141" s="1341"/>
      <c r="EW141" s="1341"/>
      <c r="EX141" s="1341"/>
      <c r="EY141" s="1341"/>
      <c r="EZ141" s="1341"/>
      <c r="FA141" s="1341"/>
      <c r="FB141" s="1341"/>
      <c r="FC141" s="1341"/>
      <c r="FD141" s="1341"/>
      <c r="FE141" s="1341"/>
      <c r="FF141" s="1341"/>
      <c r="FG141" s="1341"/>
      <c r="FH141" s="1341"/>
      <c r="FI141" s="1341"/>
      <c r="FJ141" s="1341"/>
      <c r="FK141" s="1341"/>
      <c r="FL141" s="1341"/>
      <c r="FM141" s="1341"/>
      <c r="FN141" s="1341"/>
      <c r="FO141" s="1341"/>
      <c r="FP141" s="1341"/>
      <c r="FQ141" s="1341"/>
      <c r="FR141" s="1341"/>
      <c r="FS141" s="1341"/>
      <c r="FT141" s="1341"/>
      <c r="FU141" s="1341"/>
      <c r="FV141" s="1341"/>
      <c r="FW141" s="1341"/>
      <c r="FX141" s="1341"/>
      <c r="FY141" s="1341"/>
      <c r="FZ141" s="1341"/>
      <c r="GA141" s="1341"/>
      <c r="GB141" s="1341"/>
      <c r="GC141" s="1341"/>
      <c r="GD141" s="1341"/>
      <c r="GE141" s="1341"/>
      <c r="GF141" s="1341"/>
      <c r="GG141" s="1341"/>
      <c r="GH141" s="1341"/>
      <c r="GI141" s="1341"/>
      <c r="GJ141" s="1341"/>
      <c r="GK141" s="1341"/>
      <c r="GL141" s="1341"/>
      <c r="GM141" s="1341"/>
      <c r="GN141" s="1341"/>
      <c r="GO141" s="1341"/>
      <c r="GP141" s="1341"/>
      <c r="GQ141" s="1341"/>
      <c r="GR141" s="1341"/>
      <c r="GS141" s="1341"/>
      <c r="GT141" s="1341"/>
      <c r="GU141" s="1341"/>
      <c r="GV141" s="1341"/>
      <c r="GW141" s="1341"/>
      <c r="GX141" s="1341"/>
      <c r="GY141" s="1341"/>
      <c r="GZ141" s="1341"/>
      <c r="HA141" s="1341"/>
      <c r="HB141" s="1341"/>
      <c r="HC141" s="1341"/>
      <c r="HD141" s="1341"/>
      <c r="HE141" s="1341"/>
      <c r="HF141" s="1341"/>
      <c r="HG141" s="1341"/>
      <c r="HH141" s="1341"/>
      <c r="HI141" s="1341"/>
      <c r="HJ141" s="1341"/>
      <c r="HK141" s="1341"/>
      <c r="HL141" s="1341"/>
      <c r="HM141" s="1341"/>
      <c r="HN141" s="1341"/>
      <c r="HO141" s="1341"/>
      <c r="HP141" s="1341"/>
      <c r="HQ141" s="1341"/>
      <c r="HR141" s="1341"/>
      <c r="HS141" s="1341"/>
      <c r="HT141" s="1341"/>
      <c r="HU141" s="1341"/>
      <c r="HV141" s="1341"/>
      <c r="HW141" s="1341"/>
      <c r="HX141" s="1341"/>
      <c r="HY141" s="1341"/>
      <c r="HZ141" s="1341"/>
      <c r="IA141" s="1341"/>
      <c r="IB141" s="1341"/>
      <c r="IC141" s="1341"/>
      <c r="ID141" s="1341"/>
      <c r="IE141" s="1341"/>
      <c r="IF141" s="1341"/>
      <c r="IG141" s="1341"/>
      <c r="IH141" s="1341"/>
      <c r="II141" s="1341"/>
      <c r="IJ141" s="1341"/>
      <c r="IK141" s="1341"/>
    </row>
    <row r="142" spans="1:10" s="1268" customFormat="1" ht="45.75" customHeight="1">
      <c r="A142" s="1304"/>
      <c r="B142" s="1298">
        <v>85295</v>
      </c>
      <c r="C142" s="1271"/>
      <c r="D142" s="1299" t="s">
        <v>24</v>
      </c>
      <c r="E142" s="1300"/>
      <c r="F142" s="1301">
        <f>F143</f>
        <v>200628</v>
      </c>
      <c r="G142" s="1301">
        <f>G143</f>
        <v>109000</v>
      </c>
      <c r="H142" s="1301">
        <f>H143</f>
        <v>0</v>
      </c>
      <c r="I142" s="1301">
        <f>I143</f>
        <v>0</v>
      </c>
      <c r="J142" s="1267"/>
    </row>
    <row r="143" spans="1:245" s="1281" customFormat="1" ht="78" customHeight="1">
      <c r="A143" s="1411"/>
      <c r="B143" s="1411"/>
      <c r="C143" s="1283">
        <v>1</v>
      </c>
      <c r="D143" s="1315" t="s">
        <v>298</v>
      </c>
      <c r="E143" s="1285">
        <v>2030</v>
      </c>
      <c r="F143" s="1286">
        <v>200628</v>
      </c>
      <c r="G143" s="1286">
        <v>109000</v>
      </c>
      <c r="H143" s="1286"/>
      <c r="I143" s="1286"/>
      <c r="J143" s="1339"/>
      <c r="K143" s="1340"/>
      <c r="L143" s="1340"/>
      <c r="M143" s="1340"/>
      <c r="N143" s="1340"/>
      <c r="O143" s="1340"/>
      <c r="P143" s="1340"/>
      <c r="Q143" s="1340"/>
      <c r="R143" s="1340"/>
      <c r="S143" s="1340"/>
      <c r="T143" s="1340"/>
      <c r="U143" s="1340"/>
      <c r="V143" s="1340"/>
      <c r="W143" s="1340"/>
      <c r="X143" s="1340"/>
      <c r="Y143" s="1340"/>
      <c r="Z143" s="1340"/>
      <c r="AA143" s="1340"/>
      <c r="AB143" s="1340"/>
      <c r="AC143" s="1340"/>
      <c r="AD143" s="1340"/>
      <c r="AE143" s="1340"/>
      <c r="AF143" s="1340"/>
      <c r="AG143" s="1340"/>
      <c r="AH143" s="1341"/>
      <c r="AI143" s="1341"/>
      <c r="AJ143" s="1341"/>
      <c r="AK143" s="1341"/>
      <c r="AL143" s="1341"/>
      <c r="AM143" s="1341"/>
      <c r="AN143" s="1341"/>
      <c r="AO143" s="1341"/>
      <c r="AP143" s="1341"/>
      <c r="AQ143" s="1341"/>
      <c r="AR143" s="1341"/>
      <c r="AS143" s="1341"/>
      <c r="AT143" s="1341"/>
      <c r="AU143" s="1341"/>
      <c r="AV143" s="1341"/>
      <c r="AW143" s="1341"/>
      <c r="AX143" s="1341"/>
      <c r="AY143" s="1341"/>
      <c r="AZ143" s="1341"/>
      <c r="BA143" s="1341"/>
      <c r="BB143" s="1341"/>
      <c r="BC143" s="1341"/>
      <c r="BD143" s="1341"/>
      <c r="BE143" s="1341"/>
      <c r="BF143" s="1341"/>
      <c r="BG143" s="1341"/>
      <c r="BH143" s="1341"/>
      <c r="BI143" s="1341"/>
      <c r="BJ143" s="1341"/>
      <c r="BK143" s="1341"/>
      <c r="BL143" s="1341"/>
      <c r="BM143" s="1341"/>
      <c r="BN143" s="1341"/>
      <c r="BO143" s="1341"/>
      <c r="BP143" s="1341"/>
      <c r="BQ143" s="1341"/>
      <c r="BR143" s="1341"/>
      <c r="BS143" s="1341"/>
      <c r="BT143" s="1341"/>
      <c r="BU143" s="1341"/>
      <c r="BV143" s="1341"/>
      <c r="BW143" s="1341"/>
      <c r="BX143" s="1341"/>
      <c r="BY143" s="1341"/>
      <c r="BZ143" s="1341"/>
      <c r="CA143" s="1341"/>
      <c r="CB143" s="1341"/>
      <c r="CC143" s="1341"/>
      <c r="CD143" s="1341"/>
      <c r="CE143" s="1341"/>
      <c r="CF143" s="1341"/>
      <c r="CG143" s="1341"/>
      <c r="CH143" s="1341"/>
      <c r="CI143" s="1341"/>
      <c r="CJ143" s="1341"/>
      <c r="CK143" s="1341"/>
      <c r="CL143" s="1341"/>
      <c r="CM143" s="1341"/>
      <c r="CN143" s="1341"/>
      <c r="CO143" s="1341"/>
      <c r="CP143" s="1341"/>
      <c r="CQ143" s="1341"/>
      <c r="CR143" s="1341"/>
      <c r="CS143" s="1341"/>
      <c r="CT143" s="1341"/>
      <c r="CU143" s="1341"/>
      <c r="CV143" s="1341"/>
      <c r="CW143" s="1341"/>
      <c r="CX143" s="1341"/>
      <c r="CY143" s="1341"/>
      <c r="CZ143" s="1341"/>
      <c r="DA143" s="1341"/>
      <c r="DB143" s="1341"/>
      <c r="DC143" s="1341"/>
      <c r="DD143" s="1341"/>
      <c r="DE143" s="1341"/>
      <c r="DF143" s="1341"/>
      <c r="DG143" s="1341"/>
      <c r="DH143" s="1341"/>
      <c r="DI143" s="1341"/>
      <c r="DJ143" s="1341"/>
      <c r="DK143" s="1341"/>
      <c r="DL143" s="1341"/>
      <c r="DM143" s="1341"/>
      <c r="DN143" s="1341"/>
      <c r="DO143" s="1341"/>
      <c r="DP143" s="1341"/>
      <c r="DQ143" s="1341"/>
      <c r="DR143" s="1341"/>
      <c r="DS143" s="1341"/>
      <c r="DT143" s="1341"/>
      <c r="DU143" s="1341"/>
      <c r="DV143" s="1341"/>
      <c r="DW143" s="1341"/>
      <c r="DX143" s="1341"/>
      <c r="DY143" s="1341"/>
      <c r="DZ143" s="1341"/>
      <c r="EA143" s="1341"/>
      <c r="EB143" s="1341"/>
      <c r="EC143" s="1341"/>
      <c r="ED143" s="1341"/>
      <c r="EE143" s="1341"/>
      <c r="EF143" s="1341"/>
      <c r="EG143" s="1341"/>
      <c r="EH143" s="1341"/>
      <c r="EI143" s="1341"/>
      <c r="EJ143" s="1341"/>
      <c r="EK143" s="1341"/>
      <c r="EL143" s="1341"/>
      <c r="EM143" s="1341"/>
      <c r="EN143" s="1341"/>
      <c r="EO143" s="1341"/>
      <c r="EP143" s="1341"/>
      <c r="EQ143" s="1341"/>
      <c r="ER143" s="1341"/>
      <c r="ES143" s="1341"/>
      <c r="ET143" s="1341"/>
      <c r="EU143" s="1341"/>
      <c r="EV143" s="1341"/>
      <c r="EW143" s="1341"/>
      <c r="EX143" s="1341"/>
      <c r="EY143" s="1341"/>
      <c r="EZ143" s="1341"/>
      <c r="FA143" s="1341"/>
      <c r="FB143" s="1341"/>
      <c r="FC143" s="1341"/>
      <c r="FD143" s="1341"/>
      <c r="FE143" s="1341"/>
      <c r="FF143" s="1341"/>
      <c r="FG143" s="1341"/>
      <c r="FH143" s="1341"/>
      <c r="FI143" s="1341"/>
      <c r="FJ143" s="1341"/>
      <c r="FK143" s="1341"/>
      <c r="FL143" s="1341"/>
      <c r="FM143" s="1341"/>
      <c r="FN143" s="1341"/>
      <c r="FO143" s="1341"/>
      <c r="FP143" s="1341"/>
      <c r="FQ143" s="1341"/>
      <c r="FR143" s="1341"/>
      <c r="FS143" s="1341"/>
      <c r="FT143" s="1341"/>
      <c r="FU143" s="1341"/>
      <c r="FV143" s="1341"/>
      <c r="FW143" s="1341"/>
      <c r="FX143" s="1341"/>
      <c r="FY143" s="1341"/>
      <c r="FZ143" s="1341"/>
      <c r="GA143" s="1341"/>
      <c r="GB143" s="1341"/>
      <c r="GC143" s="1341"/>
      <c r="GD143" s="1341"/>
      <c r="GE143" s="1341"/>
      <c r="GF143" s="1341"/>
      <c r="GG143" s="1341"/>
      <c r="GH143" s="1341"/>
      <c r="GI143" s="1341"/>
      <c r="GJ143" s="1341"/>
      <c r="GK143" s="1341"/>
      <c r="GL143" s="1341"/>
      <c r="GM143" s="1341"/>
      <c r="GN143" s="1341"/>
      <c r="GO143" s="1341"/>
      <c r="GP143" s="1341"/>
      <c r="GQ143" s="1341"/>
      <c r="GR143" s="1341"/>
      <c r="GS143" s="1341"/>
      <c r="GT143" s="1341"/>
      <c r="GU143" s="1341"/>
      <c r="GV143" s="1341"/>
      <c r="GW143" s="1341"/>
      <c r="GX143" s="1341"/>
      <c r="GY143" s="1341"/>
      <c r="GZ143" s="1341"/>
      <c r="HA143" s="1341"/>
      <c r="HB143" s="1341"/>
      <c r="HC143" s="1341"/>
      <c r="HD143" s="1341"/>
      <c r="HE143" s="1341"/>
      <c r="HF143" s="1341"/>
      <c r="HG143" s="1341"/>
      <c r="HH143" s="1341"/>
      <c r="HI143" s="1341"/>
      <c r="HJ143" s="1341"/>
      <c r="HK143" s="1341"/>
      <c r="HL143" s="1341"/>
      <c r="HM143" s="1341"/>
      <c r="HN143" s="1341"/>
      <c r="HO143" s="1341"/>
      <c r="HP143" s="1341"/>
      <c r="HQ143" s="1341"/>
      <c r="HR143" s="1341"/>
      <c r="HS143" s="1341"/>
      <c r="HT143" s="1341"/>
      <c r="HU143" s="1341"/>
      <c r="HV143" s="1341"/>
      <c r="HW143" s="1341"/>
      <c r="HX143" s="1341"/>
      <c r="HY143" s="1341"/>
      <c r="HZ143" s="1341"/>
      <c r="IA143" s="1341"/>
      <c r="IB143" s="1341"/>
      <c r="IC143" s="1341"/>
      <c r="ID143" s="1341"/>
      <c r="IE143" s="1341"/>
      <c r="IF143" s="1341"/>
      <c r="IG143" s="1341"/>
      <c r="IH143" s="1341"/>
      <c r="II143" s="1341"/>
      <c r="IJ143" s="1341"/>
      <c r="IK143" s="1341"/>
    </row>
    <row r="144" spans="1:245" s="1268" customFormat="1" ht="45.75" customHeight="1">
      <c r="A144" s="1262">
        <v>10</v>
      </c>
      <c r="B144" s="1262">
        <v>854</v>
      </c>
      <c r="C144" s="1263"/>
      <c r="D144" s="1282" t="s">
        <v>92</v>
      </c>
      <c r="E144" s="1265"/>
      <c r="F144" s="1266">
        <f>F145+F152</f>
        <v>317681</v>
      </c>
      <c r="G144" s="1266">
        <f>G145+G152</f>
        <v>338049</v>
      </c>
      <c r="H144" s="1266">
        <f>H145+H152</f>
        <v>0</v>
      </c>
      <c r="I144" s="1266">
        <f>I145+I152</f>
        <v>0</v>
      </c>
      <c r="J144" s="1296"/>
      <c r="K144" s="1297"/>
      <c r="L144" s="1297"/>
      <c r="M144" s="1297"/>
      <c r="N144" s="1297"/>
      <c r="O144" s="1297"/>
      <c r="P144" s="1297"/>
      <c r="Q144" s="1297"/>
      <c r="R144" s="1297"/>
      <c r="S144" s="1297"/>
      <c r="T144" s="1297"/>
      <c r="U144" s="1297"/>
      <c r="V144" s="1297"/>
      <c r="W144" s="1297"/>
      <c r="X144" s="1297"/>
      <c r="Y144" s="1297"/>
      <c r="Z144" s="1297"/>
      <c r="AA144" s="1297"/>
      <c r="AB144" s="1297"/>
      <c r="AC144" s="1297"/>
      <c r="AD144" s="1297"/>
      <c r="AE144" s="1297"/>
      <c r="AF144" s="1297"/>
      <c r="AG144" s="1297"/>
      <c r="AH144" s="1297"/>
      <c r="AI144" s="1297"/>
      <c r="AJ144" s="1297"/>
      <c r="AK144" s="1297"/>
      <c r="AL144" s="1297"/>
      <c r="AM144" s="1297"/>
      <c r="AN144" s="1297"/>
      <c r="AO144" s="1297"/>
      <c r="AP144" s="1297"/>
      <c r="AQ144" s="1297"/>
      <c r="AR144" s="1297"/>
      <c r="AS144" s="1297"/>
      <c r="AT144" s="1297"/>
      <c r="AU144" s="1297"/>
      <c r="AV144" s="1297"/>
      <c r="AW144" s="1297"/>
      <c r="AX144" s="1297"/>
      <c r="AY144" s="1297"/>
      <c r="AZ144" s="1297"/>
      <c r="BA144" s="1297"/>
      <c r="BB144" s="1297"/>
      <c r="BC144" s="1297"/>
      <c r="BD144" s="1297"/>
      <c r="BE144" s="1297"/>
      <c r="BF144" s="1297"/>
      <c r="BG144" s="1297"/>
      <c r="BH144" s="1297"/>
      <c r="BI144" s="1297"/>
      <c r="BJ144" s="1297"/>
      <c r="BK144" s="1297"/>
      <c r="BL144" s="1297"/>
      <c r="BM144" s="1297"/>
      <c r="BN144" s="1297"/>
      <c r="BO144" s="1297"/>
      <c r="BP144" s="1297"/>
      <c r="BQ144" s="1297"/>
      <c r="BR144" s="1297"/>
      <c r="BS144" s="1297"/>
      <c r="BT144" s="1297"/>
      <c r="BU144" s="1297"/>
      <c r="BV144" s="1297"/>
      <c r="BW144" s="1297"/>
      <c r="BX144" s="1297"/>
      <c r="BY144" s="1297"/>
      <c r="BZ144" s="1297"/>
      <c r="CA144" s="1297"/>
      <c r="CB144" s="1297"/>
      <c r="CC144" s="1297"/>
      <c r="CD144" s="1297"/>
      <c r="CE144" s="1297"/>
      <c r="CF144" s="1297"/>
      <c r="CG144" s="1297"/>
      <c r="CH144" s="1297"/>
      <c r="CI144" s="1297"/>
      <c r="CJ144" s="1297"/>
      <c r="CK144" s="1297"/>
      <c r="CL144" s="1297"/>
      <c r="CM144" s="1297"/>
      <c r="CN144" s="1297"/>
      <c r="CO144" s="1297"/>
      <c r="CP144" s="1297"/>
      <c r="CQ144" s="1297"/>
      <c r="CR144" s="1297"/>
      <c r="CS144" s="1297"/>
      <c r="CT144" s="1297"/>
      <c r="CU144" s="1297"/>
      <c r="CV144" s="1297"/>
      <c r="CW144" s="1297"/>
      <c r="CX144" s="1297"/>
      <c r="CY144" s="1297"/>
      <c r="CZ144" s="1297"/>
      <c r="DA144" s="1297"/>
      <c r="DB144" s="1297"/>
      <c r="DC144" s="1297"/>
      <c r="DD144" s="1297"/>
      <c r="DE144" s="1297"/>
      <c r="DF144" s="1297"/>
      <c r="DG144" s="1297"/>
      <c r="DH144" s="1297"/>
      <c r="DI144" s="1297"/>
      <c r="DJ144" s="1297"/>
      <c r="DK144" s="1297"/>
      <c r="DL144" s="1297"/>
      <c r="DM144" s="1297"/>
      <c r="DN144" s="1297"/>
      <c r="DO144" s="1297"/>
      <c r="DP144" s="1297"/>
      <c r="DQ144" s="1297"/>
      <c r="DR144" s="1297"/>
      <c r="DS144" s="1297"/>
      <c r="DT144" s="1297"/>
      <c r="DU144" s="1297"/>
      <c r="DV144" s="1297"/>
      <c r="DW144" s="1297"/>
      <c r="DX144" s="1297"/>
      <c r="DY144" s="1297"/>
      <c r="DZ144" s="1297"/>
      <c r="EA144" s="1297"/>
      <c r="EB144" s="1297"/>
      <c r="EC144" s="1297"/>
      <c r="ED144" s="1297"/>
      <c r="EE144" s="1297"/>
      <c r="EF144" s="1297"/>
      <c r="EG144" s="1297"/>
      <c r="EH144" s="1297"/>
      <c r="EI144" s="1297"/>
      <c r="EJ144" s="1297"/>
      <c r="EK144" s="1297"/>
      <c r="EL144" s="1297"/>
      <c r="EM144" s="1297"/>
      <c r="EN144" s="1297"/>
      <c r="EO144" s="1297"/>
      <c r="EP144" s="1297"/>
      <c r="EQ144" s="1297"/>
      <c r="ER144" s="1297"/>
      <c r="ES144" s="1297"/>
      <c r="ET144" s="1297"/>
      <c r="EU144" s="1297"/>
      <c r="EV144" s="1297"/>
      <c r="EW144" s="1297"/>
      <c r="EX144" s="1297"/>
      <c r="EY144" s="1297"/>
      <c r="EZ144" s="1297"/>
      <c r="FA144" s="1297"/>
      <c r="FB144" s="1297"/>
      <c r="FC144" s="1297"/>
      <c r="FD144" s="1297"/>
      <c r="FE144" s="1297"/>
      <c r="FF144" s="1297"/>
      <c r="FG144" s="1297"/>
      <c r="FH144" s="1297"/>
      <c r="FI144" s="1297"/>
      <c r="FJ144" s="1297"/>
      <c r="FK144" s="1297"/>
      <c r="FL144" s="1297"/>
      <c r="FM144" s="1297"/>
      <c r="FN144" s="1297"/>
      <c r="FO144" s="1297"/>
      <c r="FP144" s="1297"/>
      <c r="FQ144" s="1297"/>
      <c r="FR144" s="1297"/>
      <c r="FS144" s="1297"/>
      <c r="FT144" s="1297"/>
      <c r="FU144" s="1297"/>
      <c r="FV144" s="1297"/>
      <c r="FW144" s="1297"/>
      <c r="FX144" s="1297"/>
      <c r="FY144" s="1297"/>
      <c r="FZ144" s="1297"/>
      <c r="GA144" s="1297"/>
      <c r="GB144" s="1297"/>
      <c r="GC144" s="1297"/>
      <c r="GD144" s="1297"/>
      <c r="GE144" s="1297"/>
      <c r="GF144" s="1297"/>
      <c r="GG144" s="1297"/>
      <c r="GH144" s="1297"/>
      <c r="GI144" s="1297"/>
      <c r="GJ144" s="1297"/>
      <c r="GK144" s="1297"/>
      <c r="GL144" s="1297"/>
      <c r="GM144" s="1297"/>
      <c r="GN144" s="1297"/>
      <c r="GO144" s="1297"/>
      <c r="GP144" s="1297"/>
      <c r="GQ144" s="1297"/>
      <c r="GR144" s="1297"/>
      <c r="GS144" s="1297"/>
      <c r="GT144" s="1297"/>
      <c r="GU144" s="1297"/>
      <c r="GV144" s="1297"/>
      <c r="GW144" s="1297"/>
      <c r="GX144" s="1297"/>
      <c r="GY144" s="1297"/>
      <c r="GZ144" s="1297"/>
      <c r="HA144" s="1297"/>
      <c r="HB144" s="1297"/>
      <c r="HC144" s="1297"/>
      <c r="HD144" s="1297"/>
      <c r="HE144" s="1297"/>
      <c r="HF144" s="1297"/>
      <c r="HG144" s="1297"/>
      <c r="HH144" s="1297"/>
      <c r="HI144" s="1297"/>
      <c r="HJ144" s="1297"/>
      <c r="HK144" s="1297"/>
      <c r="HL144" s="1297"/>
      <c r="HM144" s="1297"/>
      <c r="HN144" s="1297"/>
      <c r="HO144" s="1297"/>
      <c r="HP144" s="1297"/>
      <c r="HQ144" s="1297"/>
      <c r="HR144" s="1297"/>
      <c r="HS144" s="1297"/>
      <c r="HT144" s="1297"/>
      <c r="HU144" s="1297"/>
      <c r="HV144" s="1297"/>
      <c r="HW144" s="1297"/>
      <c r="HX144" s="1297"/>
      <c r="HY144" s="1297"/>
      <c r="HZ144" s="1297"/>
      <c r="IA144" s="1297"/>
      <c r="IB144" s="1297"/>
      <c r="IC144" s="1297"/>
      <c r="ID144" s="1297"/>
      <c r="IE144" s="1297"/>
      <c r="IF144" s="1297"/>
      <c r="IG144" s="1297"/>
      <c r="IH144" s="1297"/>
      <c r="II144" s="1297"/>
      <c r="IJ144" s="1297"/>
      <c r="IK144" s="1297"/>
    </row>
    <row r="145" spans="1:245" s="1310" customFormat="1" ht="41.25" customHeight="1">
      <c r="A145" s="1269"/>
      <c r="B145" s="1298">
        <v>85401</v>
      </c>
      <c r="C145" s="1271"/>
      <c r="D145" s="1299" t="s">
        <v>299</v>
      </c>
      <c r="E145" s="1300"/>
      <c r="F145" s="1301">
        <f>F146</f>
        <v>263725</v>
      </c>
      <c r="G145" s="1301">
        <f>G146</f>
        <v>312625</v>
      </c>
      <c r="H145" s="1301">
        <f>H146</f>
        <v>0</v>
      </c>
      <c r="I145" s="1301">
        <f>I146</f>
        <v>0</v>
      </c>
      <c r="J145" s="1296"/>
      <c r="K145" s="1297"/>
      <c r="L145" s="1297"/>
      <c r="M145" s="1297"/>
      <c r="N145" s="1297"/>
      <c r="O145" s="1297"/>
      <c r="P145" s="1297"/>
      <c r="Q145" s="1297"/>
      <c r="R145" s="1297"/>
      <c r="S145" s="1297"/>
      <c r="T145" s="1297"/>
      <c r="U145" s="1297"/>
      <c r="V145" s="1297"/>
      <c r="W145" s="1297"/>
      <c r="X145" s="1297"/>
      <c r="Y145" s="1297"/>
      <c r="Z145" s="1297"/>
      <c r="AA145" s="1297"/>
      <c r="AB145" s="1297"/>
      <c r="AC145" s="1297"/>
      <c r="AD145" s="1297"/>
      <c r="AE145" s="1297"/>
      <c r="AF145" s="1297"/>
      <c r="AG145" s="1297"/>
      <c r="AH145" s="1352"/>
      <c r="AI145" s="1352"/>
      <c r="AJ145" s="1352"/>
      <c r="AK145" s="1352"/>
      <c r="AL145" s="1352"/>
      <c r="AM145" s="1352"/>
      <c r="AN145" s="1352"/>
      <c r="AO145" s="1352"/>
      <c r="AP145" s="1352"/>
      <c r="AQ145" s="1352"/>
      <c r="AR145" s="1352"/>
      <c r="AS145" s="1352"/>
      <c r="AT145" s="1352"/>
      <c r="AU145" s="1352"/>
      <c r="AV145" s="1352"/>
      <c r="AW145" s="1352"/>
      <c r="AX145" s="1352"/>
      <c r="AY145" s="1352"/>
      <c r="AZ145" s="1352"/>
      <c r="BA145" s="1352"/>
      <c r="BB145" s="1352"/>
      <c r="BC145" s="1352"/>
      <c r="BD145" s="1352"/>
      <c r="BE145" s="1352"/>
      <c r="BF145" s="1352"/>
      <c r="BG145" s="1352"/>
      <c r="BH145" s="1352"/>
      <c r="BI145" s="1352"/>
      <c r="BJ145" s="1352"/>
      <c r="BK145" s="1352"/>
      <c r="BL145" s="1352"/>
      <c r="BM145" s="1352"/>
      <c r="BN145" s="1352"/>
      <c r="BO145" s="1352"/>
      <c r="BP145" s="1352"/>
      <c r="BQ145" s="1352"/>
      <c r="BR145" s="1352"/>
      <c r="BS145" s="1352"/>
      <c r="BT145" s="1352"/>
      <c r="BU145" s="1352"/>
      <c r="BV145" s="1352"/>
      <c r="BW145" s="1352"/>
      <c r="BX145" s="1352"/>
      <c r="BY145" s="1352"/>
      <c r="BZ145" s="1352"/>
      <c r="CA145" s="1352"/>
      <c r="CB145" s="1352"/>
      <c r="CC145" s="1352"/>
      <c r="CD145" s="1352"/>
      <c r="CE145" s="1352"/>
      <c r="CF145" s="1352"/>
      <c r="CG145" s="1352"/>
      <c r="CH145" s="1352"/>
      <c r="CI145" s="1352"/>
      <c r="CJ145" s="1352"/>
      <c r="CK145" s="1352"/>
      <c r="CL145" s="1352"/>
      <c r="CM145" s="1352"/>
      <c r="CN145" s="1352"/>
      <c r="CO145" s="1352"/>
      <c r="CP145" s="1352"/>
      <c r="CQ145" s="1352"/>
      <c r="CR145" s="1352"/>
      <c r="CS145" s="1352"/>
      <c r="CT145" s="1352"/>
      <c r="CU145" s="1352"/>
      <c r="CV145" s="1352"/>
      <c r="CW145" s="1352"/>
      <c r="CX145" s="1352"/>
      <c r="CY145" s="1352"/>
      <c r="CZ145" s="1352"/>
      <c r="DA145" s="1352"/>
      <c r="DB145" s="1352"/>
      <c r="DC145" s="1352"/>
      <c r="DD145" s="1352"/>
      <c r="DE145" s="1352"/>
      <c r="DF145" s="1352"/>
      <c r="DG145" s="1352"/>
      <c r="DH145" s="1352"/>
      <c r="DI145" s="1352"/>
      <c r="DJ145" s="1352"/>
      <c r="DK145" s="1352"/>
      <c r="DL145" s="1352"/>
      <c r="DM145" s="1352"/>
      <c r="DN145" s="1352"/>
      <c r="DO145" s="1352"/>
      <c r="DP145" s="1352"/>
      <c r="DQ145" s="1352"/>
      <c r="DR145" s="1352"/>
      <c r="DS145" s="1352"/>
      <c r="DT145" s="1352"/>
      <c r="DU145" s="1352"/>
      <c r="DV145" s="1352"/>
      <c r="DW145" s="1352"/>
      <c r="DX145" s="1352"/>
      <c r="DY145" s="1352"/>
      <c r="DZ145" s="1352"/>
      <c r="EA145" s="1352"/>
      <c r="EB145" s="1352"/>
      <c r="EC145" s="1352"/>
      <c r="ED145" s="1352"/>
      <c r="EE145" s="1352"/>
      <c r="EF145" s="1352"/>
      <c r="EG145" s="1352"/>
      <c r="EH145" s="1352"/>
      <c r="EI145" s="1352"/>
      <c r="EJ145" s="1352"/>
      <c r="EK145" s="1352"/>
      <c r="EL145" s="1352"/>
      <c r="EM145" s="1352"/>
      <c r="EN145" s="1352"/>
      <c r="EO145" s="1352"/>
      <c r="EP145" s="1352"/>
      <c r="EQ145" s="1352"/>
      <c r="ER145" s="1352"/>
      <c r="ES145" s="1352"/>
      <c r="ET145" s="1352"/>
      <c r="EU145" s="1352"/>
      <c r="EV145" s="1352"/>
      <c r="EW145" s="1352"/>
      <c r="EX145" s="1352"/>
      <c r="EY145" s="1352"/>
      <c r="EZ145" s="1352"/>
      <c r="FA145" s="1352"/>
      <c r="FB145" s="1352"/>
      <c r="FC145" s="1352"/>
      <c r="FD145" s="1352"/>
      <c r="FE145" s="1352"/>
      <c r="FF145" s="1352"/>
      <c r="FG145" s="1352"/>
      <c r="FH145" s="1352"/>
      <c r="FI145" s="1352"/>
      <c r="FJ145" s="1352"/>
      <c r="FK145" s="1352"/>
      <c r="FL145" s="1352"/>
      <c r="FM145" s="1352"/>
      <c r="FN145" s="1352"/>
      <c r="FO145" s="1352"/>
      <c r="FP145" s="1352"/>
      <c r="FQ145" s="1352"/>
      <c r="FR145" s="1352"/>
      <c r="FS145" s="1352"/>
      <c r="FT145" s="1352"/>
      <c r="FU145" s="1352"/>
      <c r="FV145" s="1352"/>
      <c r="FW145" s="1352"/>
      <c r="FX145" s="1352"/>
      <c r="FY145" s="1352"/>
      <c r="FZ145" s="1352"/>
      <c r="GA145" s="1352"/>
      <c r="GB145" s="1352"/>
      <c r="GC145" s="1352"/>
      <c r="GD145" s="1352"/>
      <c r="GE145" s="1352"/>
      <c r="GF145" s="1352"/>
      <c r="GG145" s="1352"/>
      <c r="GH145" s="1352"/>
      <c r="GI145" s="1352"/>
      <c r="GJ145" s="1352"/>
      <c r="GK145" s="1352"/>
      <c r="GL145" s="1352"/>
      <c r="GM145" s="1352"/>
      <c r="GN145" s="1352"/>
      <c r="GO145" s="1352"/>
      <c r="GP145" s="1352"/>
      <c r="GQ145" s="1352"/>
      <c r="GR145" s="1352"/>
      <c r="GS145" s="1352"/>
      <c r="GT145" s="1352"/>
      <c r="GU145" s="1352"/>
      <c r="GV145" s="1352"/>
      <c r="GW145" s="1352"/>
      <c r="GX145" s="1352"/>
      <c r="GY145" s="1352"/>
      <c r="GZ145" s="1352"/>
      <c r="HA145" s="1352"/>
      <c r="HB145" s="1352"/>
      <c r="HC145" s="1352"/>
      <c r="HD145" s="1352"/>
      <c r="HE145" s="1352"/>
      <c r="HF145" s="1352"/>
      <c r="HG145" s="1352"/>
      <c r="HH145" s="1352"/>
      <c r="HI145" s="1352"/>
      <c r="HJ145" s="1352"/>
      <c r="HK145" s="1352"/>
      <c r="HL145" s="1352"/>
      <c r="HM145" s="1352"/>
      <c r="HN145" s="1352"/>
      <c r="HO145" s="1352"/>
      <c r="HP145" s="1352"/>
      <c r="HQ145" s="1352"/>
      <c r="HR145" s="1352"/>
      <c r="HS145" s="1352"/>
      <c r="HT145" s="1352"/>
      <c r="HU145" s="1352"/>
      <c r="HV145" s="1352"/>
      <c r="HW145" s="1352"/>
      <c r="HX145" s="1352"/>
      <c r="HY145" s="1352"/>
      <c r="HZ145" s="1352"/>
      <c r="IA145" s="1352"/>
      <c r="IB145" s="1352"/>
      <c r="IC145" s="1352"/>
      <c r="ID145" s="1352"/>
      <c r="IE145" s="1352"/>
      <c r="IF145" s="1352"/>
      <c r="IG145" s="1352"/>
      <c r="IH145" s="1352"/>
      <c r="II145" s="1352"/>
      <c r="IJ145" s="1352"/>
      <c r="IK145" s="1352"/>
    </row>
    <row r="146" spans="1:245" s="1281" customFormat="1" ht="42.75" customHeight="1">
      <c r="A146" s="1411"/>
      <c r="B146" s="1411"/>
      <c r="C146" s="1292">
        <v>1</v>
      </c>
      <c r="D146" s="1284" t="s">
        <v>300</v>
      </c>
      <c r="E146" s="1285" t="s">
        <v>280</v>
      </c>
      <c r="F146" s="1330">
        <f>94400+120000+49325</f>
        <v>263725</v>
      </c>
      <c r="G146" s="1286">
        <f>94400+125000+52825+40400</f>
        <v>312625</v>
      </c>
      <c r="H146" s="1286"/>
      <c r="I146" s="1286"/>
      <c r="J146" s="1339"/>
      <c r="K146" s="1340"/>
      <c r="L146" s="1340"/>
      <c r="M146" s="1340"/>
      <c r="N146" s="1340"/>
      <c r="O146" s="1340"/>
      <c r="P146" s="1340"/>
      <c r="Q146" s="1340"/>
      <c r="R146" s="1340"/>
      <c r="S146" s="1340"/>
      <c r="T146" s="1340"/>
      <c r="U146" s="1340"/>
      <c r="V146" s="1340"/>
      <c r="W146" s="1340"/>
      <c r="X146" s="1340"/>
      <c r="Y146" s="1340"/>
      <c r="Z146" s="1340"/>
      <c r="AA146" s="1340"/>
      <c r="AB146" s="1340"/>
      <c r="AC146" s="1340"/>
      <c r="AD146" s="1340"/>
      <c r="AE146" s="1340"/>
      <c r="AF146" s="1340"/>
      <c r="AG146" s="1340"/>
      <c r="AH146" s="1341"/>
      <c r="AI146" s="1341"/>
      <c r="AJ146" s="1341"/>
      <c r="AK146" s="1341"/>
      <c r="AL146" s="1341"/>
      <c r="AM146" s="1341"/>
      <c r="AN146" s="1341"/>
      <c r="AO146" s="1341"/>
      <c r="AP146" s="1341"/>
      <c r="AQ146" s="1341"/>
      <c r="AR146" s="1341"/>
      <c r="AS146" s="1341"/>
      <c r="AT146" s="1341"/>
      <c r="AU146" s="1341"/>
      <c r="AV146" s="1341"/>
      <c r="AW146" s="1341"/>
      <c r="AX146" s="1341"/>
      <c r="AY146" s="1341"/>
      <c r="AZ146" s="1341"/>
      <c r="BA146" s="1341"/>
      <c r="BB146" s="1341"/>
      <c r="BC146" s="1341"/>
      <c r="BD146" s="1341"/>
      <c r="BE146" s="1341"/>
      <c r="BF146" s="1341"/>
      <c r="BG146" s="1341"/>
      <c r="BH146" s="1341"/>
      <c r="BI146" s="1341"/>
      <c r="BJ146" s="1341"/>
      <c r="BK146" s="1341"/>
      <c r="BL146" s="1341"/>
      <c r="BM146" s="1341"/>
      <c r="BN146" s="1341"/>
      <c r="BO146" s="1341"/>
      <c r="BP146" s="1341"/>
      <c r="BQ146" s="1341"/>
      <c r="BR146" s="1341"/>
      <c r="BS146" s="1341"/>
      <c r="BT146" s="1341"/>
      <c r="BU146" s="1341"/>
      <c r="BV146" s="1341"/>
      <c r="BW146" s="1341"/>
      <c r="BX146" s="1341"/>
      <c r="BY146" s="1341"/>
      <c r="BZ146" s="1341"/>
      <c r="CA146" s="1341"/>
      <c r="CB146" s="1341"/>
      <c r="CC146" s="1341"/>
      <c r="CD146" s="1341"/>
      <c r="CE146" s="1341"/>
      <c r="CF146" s="1341"/>
      <c r="CG146" s="1341"/>
      <c r="CH146" s="1341"/>
      <c r="CI146" s="1341"/>
      <c r="CJ146" s="1341"/>
      <c r="CK146" s="1341"/>
      <c r="CL146" s="1341"/>
      <c r="CM146" s="1341"/>
      <c r="CN146" s="1341"/>
      <c r="CO146" s="1341"/>
      <c r="CP146" s="1341"/>
      <c r="CQ146" s="1341"/>
      <c r="CR146" s="1341"/>
      <c r="CS146" s="1341"/>
      <c r="CT146" s="1341"/>
      <c r="CU146" s="1341"/>
      <c r="CV146" s="1341"/>
      <c r="CW146" s="1341"/>
      <c r="CX146" s="1341"/>
      <c r="CY146" s="1341"/>
      <c r="CZ146" s="1341"/>
      <c r="DA146" s="1341"/>
      <c r="DB146" s="1341"/>
      <c r="DC146" s="1341"/>
      <c r="DD146" s="1341"/>
      <c r="DE146" s="1341"/>
      <c r="DF146" s="1341"/>
      <c r="DG146" s="1341"/>
      <c r="DH146" s="1341"/>
      <c r="DI146" s="1341"/>
      <c r="DJ146" s="1341"/>
      <c r="DK146" s="1341"/>
      <c r="DL146" s="1341"/>
      <c r="DM146" s="1341"/>
      <c r="DN146" s="1341"/>
      <c r="DO146" s="1341"/>
      <c r="DP146" s="1341"/>
      <c r="DQ146" s="1341"/>
      <c r="DR146" s="1341"/>
      <c r="DS146" s="1341"/>
      <c r="DT146" s="1341"/>
      <c r="DU146" s="1341"/>
      <c r="DV146" s="1341"/>
      <c r="DW146" s="1341"/>
      <c r="DX146" s="1341"/>
      <c r="DY146" s="1341"/>
      <c r="DZ146" s="1341"/>
      <c r="EA146" s="1341"/>
      <c r="EB146" s="1341"/>
      <c r="EC146" s="1341"/>
      <c r="ED146" s="1341"/>
      <c r="EE146" s="1341"/>
      <c r="EF146" s="1341"/>
      <c r="EG146" s="1341"/>
      <c r="EH146" s="1341"/>
      <c r="EI146" s="1341"/>
      <c r="EJ146" s="1341"/>
      <c r="EK146" s="1341"/>
      <c r="EL146" s="1341"/>
      <c r="EM146" s="1341"/>
      <c r="EN146" s="1341"/>
      <c r="EO146" s="1341"/>
      <c r="EP146" s="1341"/>
      <c r="EQ146" s="1341"/>
      <c r="ER146" s="1341"/>
      <c r="ES146" s="1341"/>
      <c r="ET146" s="1341"/>
      <c r="EU146" s="1341"/>
      <c r="EV146" s="1341"/>
      <c r="EW146" s="1341"/>
      <c r="EX146" s="1341"/>
      <c r="EY146" s="1341"/>
      <c r="EZ146" s="1341"/>
      <c r="FA146" s="1341"/>
      <c r="FB146" s="1341"/>
      <c r="FC146" s="1341"/>
      <c r="FD146" s="1341"/>
      <c r="FE146" s="1341"/>
      <c r="FF146" s="1341"/>
      <c r="FG146" s="1341"/>
      <c r="FH146" s="1341"/>
      <c r="FI146" s="1341"/>
      <c r="FJ146" s="1341"/>
      <c r="FK146" s="1341"/>
      <c r="FL146" s="1341"/>
      <c r="FM146" s="1341"/>
      <c r="FN146" s="1341"/>
      <c r="FO146" s="1341"/>
      <c r="FP146" s="1341"/>
      <c r="FQ146" s="1341"/>
      <c r="FR146" s="1341"/>
      <c r="FS146" s="1341"/>
      <c r="FT146" s="1341"/>
      <c r="FU146" s="1341"/>
      <c r="FV146" s="1341"/>
      <c r="FW146" s="1341"/>
      <c r="FX146" s="1341"/>
      <c r="FY146" s="1341"/>
      <c r="FZ146" s="1341"/>
      <c r="GA146" s="1341"/>
      <c r="GB146" s="1341"/>
      <c r="GC146" s="1341"/>
      <c r="GD146" s="1341"/>
      <c r="GE146" s="1341"/>
      <c r="GF146" s="1341"/>
      <c r="GG146" s="1341"/>
      <c r="GH146" s="1341"/>
      <c r="GI146" s="1341"/>
      <c r="GJ146" s="1341"/>
      <c r="GK146" s="1341"/>
      <c r="GL146" s="1341"/>
      <c r="GM146" s="1341"/>
      <c r="GN146" s="1341"/>
      <c r="GO146" s="1341"/>
      <c r="GP146" s="1341"/>
      <c r="GQ146" s="1341"/>
      <c r="GR146" s="1341"/>
      <c r="GS146" s="1341"/>
      <c r="GT146" s="1341"/>
      <c r="GU146" s="1341"/>
      <c r="GV146" s="1341"/>
      <c r="GW146" s="1341"/>
      <c r="GX146" s="1341"/>
      <c r="GY146" s="1341"/>
      <c r="GZ146" s="1341"/>
      <c r="HA146" s="1341"/>
      <c r="HB146" s="1341"/>
      <c r="HC146" s="1341"/>
      <c r="HD146" s="1341"/>
      <c r="HE146" s="1341"/>
      <c r="HF146" s="1341"/>
      <c r="HG146" s="1341"/>
      <c r="HH146" s="1341"/>
      <c r="HI146" s="1341"/>
      <c r="HJ146" s="1341"/>
      <c r="HK146" s="1341"/>
      <c r="HL146" s="1341"/>
      <c r="HM146" s="1341"/>
      <c r="HN146" s="1341"/>
      <c r="HO146" s="1341"/>
      <c r="HP146" s="1341"/>
      <c r="HQ146" s="1341"/>
      <c r="HR146" s="1341"/>
      <c r="HS146" s="1341"/>
      <c r="HT146" s="1341"/>
      <c r="HU146" s="1341"/>
      <c r="HV146" s="1341"/>
      <c r="HW146" s="1341"/>
      <c r="HX146" s="1341"/>
      <c r="HY146" s="1341"/>
      <c r="HZ146" s="1341"/>
      <c r="IA146" s="1341"/>
      <c r="IB146" s="1341"/>
      <c r="IC146" s="1341"/>
      <c r="ID146" s="1341"/>
      <c r="IE146" s="1341"/>
      <c r="IF146" s="1341"/>
      <c r="IG146" s="1341"/>
      <c r="IH146" s="1341"/>
      <c r="II146" s="1341"/>
      <c r="IJ146" s="1341"/>
      <c r="IK146" s="1341"/>
    </row>
    <row r="147" spans="1:245" s="1281" customFormat="1" ht="19.5" customHeight="1">
      <c r="A147" s="1411"/>
      <c r="B147" s="1411"/>
      <c r="C147" s="1287"/>
      <c r="D147" s="1288" t="s">
        <v>706</v>
      </c>
      <c r="E147" s="1329"/>
      <c r="F147" s="1329"/>
      <c r="G147" s="1329"/>
      <c r="H147" s="1329"/>
      <c r="I147" s="1329"/>
      <c r="J147" s="1339"/>
      <c r="K147" s="1340"/>
      <c r="L147" s="1340"/>
      <c r="M147" s="1340"/>
      <c r="N147" s="1340"/>
      <c r="O147" s="1340"/>
      <c r="P147" s="1340"/>
      <c r="Q147" s="1340"/>
      <c r="R147" s="1340"/>
      <c r="S147" s="1340"/>
      <c r="T147" s="1340"/>
      <c r="U147" s="1340"/>
      <c r="V147" s="1340"/>
      <c r="W147" s="1340"/>
      <c r="X147" s="1340"/>
      <c r="Y147" s="1340"/>
      <c r="Z147" s="1340"/>
      <c r="AA147" s="1340"/>
      <c r="AB147" s="1340"/>
      <c r="AC147" s="1340"/>
      <c r="AD147" s="1340"/>
      <c r="AE147" s="1340"/>
      <c r="AF147" s="1340"/>
      <c r="AG147" s="1340"/>
      <c r="AH147" s="1341"/>
      <c r="AI147" s="1341"/>
      <c r="AJ147" s="1341"/>
      <c r="AK147" s="1341"/>
      <c r="AL147" s="1341"/>
      <c r="AM147" s="1341"/>
      <c r="AN147" s="1341"/>
      <c r="AO147" s="1341"/>
      <c r="AP147" s="1341"/>
      <c r="AQ147" s="1341"/>
      <c r="AR147" s="1341"/>
      <c r="AS147" s="1341"/>
      <c r="AT147" s="1341"/>
      <c r="AU147" s="1341"/>
      <c r="AV147" s="1341"/>
      <c r="AW147" s="1341"/>
      <c r="AX147" s="1341"/>
      <c r="AY147" s="1341"/>
      <c r="AZ147" s="1341"/>
      <c r="BA147" s="1341"/>
      <c r="BB147" s="1341"/>
      <c r="BC147" s="1341"/>
      <c r="BD147" s="1341"/>
      <c r="BE147" s="1341"/>
      <c r="BF147" s="1341"/>
      <c r="BG147" s="1341"/>
      <c r="BH147" s="1341"/>
      <c r="BI147" s="1341"/>
      <c r="BJ147" s="1341"/>
      <c r="BK147" s="1341"/>
      <c r="BL147" s="1341"/>
      <c r="BM147" s="1341"/>
      <c r="BN147" s="1341"/>
      <c r="BO147" s="1341"/>
      <c r="BP147" s="1341"/>
      <c r="BQ147" s="1341"/>
      <c r="BR147" s="1341"/>
      <c r="BS147" s="1341"/>
      <c r="BT147" s="1341"/>
      <c r="BU147" s="1341"/>
      <c r="BV147" s="1341"/>
      <c r="BW147" s="1341"/>
      <c r="BX147" s="1341"/>
      <c r="BY147" s="1341"/>
      <c r="BZ147" s="1341"/>
      <c r="CA147" s="1341"/>
      <c r="CB147" s="1341"/>
      <c r="CC147" s="1341"/>
      <c r="CD147" s="1341"/>
      <c r="CE147" s="1341"/>
      <c r="CF147" s="1341"/>
      <c r="CG147" s="1341"/>
      <c r="CH147" s="1341"/>
      <c r="CI147" s="1341"/>
      <c r="CJ147" s="1341"/>
      <c r="CK147" s="1341"/>
      <c r="CL147" s="1341"/>
      <c r="CM147" s="1341"/>
      <c r="CN147" s="1341"/>
      <c r="CO147" s="1341"/>
      <c r="CP147" s="1341"/>
      <c r="CQ147" s="1341"/>
      <c r="CR147" s="1341"/>
      <c r="CS147" s="1341"/>
      <c r="CT147" s="1341"/>
      <c r="CU147" s="1341"/>
      <c r="CV147" s="1341"/>
      <c r="CW147" s="1341"/>
      <c r="CX147" s="1341"/>
      <c r="CY147" s="1341"/>
      <c r="CZ147" s="1341"/>
      <c r="DA147" s="1341"/>
      <c r="DB147" s="1341"/>
      <c r="DC147" s="1341"/>
      <c r="DD147" s="1341"/>
      <c r="DE147" s="1341"/>
      <c r="DF147" s="1341"/>
      <c r="DG147" s="1341"/>
      <c r="DH147" s="1341"/>
      <c r="DI147" s="1341"/>
      <c r="DJ147" s="1341"/>
      <c r="DK147" s="1341"/>
      <c r="DL147" s="1341"/>
      <c r="DM147" s="1341"/>
      <c r="DN147" s="1341"/>
      <c r="DO147" s="1341"/>
      <c r="DP147" s="1341"/>
      <c r="DQ147" s="1341"/>
      <c r="DR147" s="1341"/>
      <c r="DS147" s="1341"/>
      <c r="DT147" s="1341"/>
      <c r="DU147" s="1341"/>
      <c r="DV147" s="1341"/>
      <c r="DW147" s="1341"/>
      <c r="DX147" s="1341"/>
      <c r="DY147" s="1341"/>
      <c r="DZ147" s="1341"/>
      <c r="EA147" s="1341"/>
      <c r="EB147" s="1341"/>
      <c r="EC147" s="1341"/>
      <c r="ED147" s="1341"/>
      <c r="EE147" s="1341"/>
      <c r="EF147" s="1341"/>
      <c r="EG147" s="1341"/>
      <c r="EH147" s="1341"/>
      <c r="EI147" s="1341"/>
      <c r="EJ147" s="1341"/>
      <c r="EK147" s="1341"/>
      <c r="EL147" s="1341"/>
      <c r="EM147" s="1341"/>
      <c r="EN147" s="1341"/>
      <c r="EO147" s="1341"/>
      <c r="EP147" s="1341"/>
      <c r="EQ147" s="1341"/>
      <c r="ER147" s="1341"/>
      <c r="ES147" s="1341"/>
      <c r="ET147" s="1341"/>
      <c r="EU147" s="1341"/>
      <c r="EV147" s="1341"/>
      <c r="EW147" s="1341"/>
      <c r="EX147" s="1341"/>
      <c r="EY147" s="1341"/>
      <c r="EZ147" s="1341"/>
      <c r="FA147" s="1341"/>
      <c r="FB147" s="1341"/>
      <c r="FC147" s="1341"/>
      <c r="FD147" s="1341"/>
      <c r="FE147" s="1341"/>
      <c r="FF147" s="1341"/>
      <c r="FG147" s="1341"/>
      <c r="FH147" s="1341"/>
      <c r="FI147" s="1341"/>
      <c r="FJ147" s="1341"/>
      <c r="FK147" s="1341"/>
      <c r="FL147" s="1341"/>
      <c r="FM147" s="1341"/>
      <c r="FN147" s="1341"/>
      <c r="FO147" s="1341"/>
      <c r="FP147" s="1341"/>
      <c r="FQ147" s="1341"/>
      <c r="FR147" s="1341"/>
      <c r="FS147" s="1341"/>
      <c r="FT147" s="1341"/>
      <c r="FU147" s="1341"/>
      <c r="FV147" s="1341"/>
      <c r="FW147" s="1341"/>
      <c r="FX147" s="1341"/>
      <c r="FY147" s="1341"/>
      <c r="FZ147" s="1341"/>
      <c r="GA147" s="1341"/>
      <c r="GB147" s="1341"/>
      <c r="GC147" s="1341"/>
      <c r="GD147" s="1341"/>
      <c r="GE147" s="1341"/>
      <c r="GF147" s="1341"/>
      <c r="GG147" s="1341"/>
      <c r="GH147" s="1341"/>
      <c r="GI147" s="1341"/>
      <c r="GJ147" s="1341"/>
      <c r="GK147" s="1341"/>
      <c r="GL147" s="1341"/>
      <c r="GM147" s="1341"/>
      <c r="GN147" s="1341"/>
      <c r="GO147" s="1341"/>
      <c r="GP147" s="1341"/>
      <c r="GQ147" s="1341"/>
      <c r="GR147" s="1341"/>
      <c r="GS147" s="1341"/>
      <c r="GT147" s="1341"/>
      <c r="GU147" s="1341"/>
      <c r="GV147" s="1341"/>
      <c r="GW147" s="1341"/>
      <c r="GX147" s="1341"/>
      <c r="GY147" s="1341"/>
      <c r="GZ147" s="1341"/>
      <c r="HA147" s="1341"/>
      <c r="HB147" s="1341"/>
      <c r="HC147" s="1341"/>
      <c r="HD147" s="1341"/>
      <c r="HE147" s="1341"/>
      <c r="HF147" s="1341"/>
      <c r="HG147" s="1341"/>
      <c r="HH147" s="1341"/>
      <c r="HI147" s="1341"/>
      <c r="HJ147" s="1341"/>
      <c r="HK147" s="1341"/>
      <c r="HL147" s="1341"/>
      <c r="HM147" s="1341"/>
      <c r="HN147" s="1341"/>
      <c r="HO147" s="1341"/>
      <c r="HP147" s="1341"/>
      <c r="HQ147" s="1341"/>
      <c r="HR147" s="1341"/>
      <c r="HS147" s="1341"/>
      <c r="HT147" s="1341"/>
      <c r="HU147" s="1341"/>
      <c r="HV147" s="1341"/>
      <c r="HW147" s="1341"/>
      <c r="HX147" s="1341"/>
      <c r="HY147" s="1341"/>
      <c r="HZ147" s="1341"/>
      <c r="IA147" s="1341"/>
      <c r="IB147" s="1341"/>
      <c r="IC147" s="1341"/>
      <c r="ID147" s="1341"/>
      <c r="IE147" s="1341"/>
      <c r="IF147" s="1341"/>
      <c r="IG147" s="1341"/>
      <c r="IH147" s="1341"/>
      <c r="II147" s="1341"/>
      <c r="IJ147" s="1341"/>
      <c r="IK147" s="1341"/>
    </row>
    <row r="148" spans="1:245" s="1281" customFormat="1" ht="27" customHeight="1">
      <c r="A148" s="1411"/>
      <c r="B148" s="1411"/>
      <c r="C148" s="1287"/>
      <c r="D148" s="1294" t="s">
        <v>1008</v>
      </c>
      <c r="E148" s="1329"/>
      <c r="F148" s="1329"/>
      <c r="G148" s="1329"/>
      <c r="H148" s="1329"/>
      <c r="I148" s="1329"/>
      <c r="J148" s="1339" t="s">
        <v>526</v>
      </c>
      <c r="K148" s="1340"/>
      <c r="L148" s="1340"/>
      <c r="M148" s="1340"/>
      <c r="N148" s="1340"/>
      <c r="O148" s="1340"/>
      <c r="P148" s="1340"/>
      <c r="Q148" s="1340"/>
      <c r="R148" s="1340"/>
      <c r="S148" s="1340"/>
      <c r="T148" s="1340"/>
      <c r="U148" s="1340"/>
      <c r="V148" s="1340"/>
      <c r="W148" s="1340"/>
      <c r="X148" s="1340"/>
      <c r="Y148" s="1340"/>
      <c r="Z148" s="1340"/>
      <c r="AA148" s="1340"/>
      <c r="AB148" s="1340"/>
      <c r="AC148" s="1340"/>
      <c r="AD148" s="1340"/>
      <c r="AE148" s="1340"/>
      <c r="AF148" s="1340"/>
      <c r="AG148" s="1340"/>
      <c r="AH148" s="1341"/>
      <c r="AI148" s="1341"/>
      <c r="AJ148" s="1341"/>
      <c r="AK148" s="1341"/>
      <c r="AL148" s="1341"/>
      <c r="AM148" s="1341"/>
      <c r="AN148" s="1341"/>
      <c r="AO148" s="1341"/>
      <c r="AP148" s="1341"/>
      <c r="AQ148" s="1341"/>
      <c r="AR148" s="1341"/>
      <c r="AS148" s="1341"/>
      <c r="AT148" s="1341"/>
      <c r="AU148" s="1341"/>
      <c r="AV148" s="1341"/>
      <c r="AW148" s="1341"/>
      <c r="AX148" s="1341"/>
      <c r="AY148" s="1341"/>
      <c r="AZ148" s="1341"/>
      <c r="BA148" s="1341"/>
      <c r="BB148" s="1341"/>
      <c r="BC148" s="1341"/>
      <c r="BD148" s="1341"/>
      <c r="BE148" s="1341"/>
      <c r="BF148" s="1341"/>
      <c r="BG148" s="1341"/>
      <c r="BH148" s="1341"/>
      <c r="BI148" s="1341"/>
      <c r="BJ148" s="1341"/>
      <c r="BK148" s="1341"/>
      <c r="BL148" s="1341"/>
      <c r="BM148" s="1341"/>
      <c r="BN148" s="1341"/>
      <c r="BO148" s="1341"/>
      <c r="BP148" s="1341"/>
      <c r="BQ148" s="1341"/>
      <c r="BR148" s="1341"/>
      <c r="BS148" s="1341"/>
      <c r="BT148" s="1341"/>
      <c r="BU148" s="1341"/>
      <c r="BV148" s="1341"/>
      <c r="BW148" s="1341"/>
      <c r="BX148" s="1341"/>
      <c r="BY148" s="1341"/>
      <c r="BZ148" s="1341"/>
      <c r="CA148" s="1341"/>
      <c r="CB148" s="1341"/>
      <c r="CC148" s="1341"/>
      <c r="CD148" s="1341"/>
      <c r="CE148" s="1341"/>
      <c r="CF148" s="1341"/>
      <c r="CG148" s="1341"/>
      <c r="CH148" s="1341"/>
      <c r="CI148" s="1341"/>
      <c r="CJ148" s="1341"/>
      <c r="CK148" s="1341"/>
      <c r="CL148" s="1341"/>
      <c r="CM148" s="1341"/>
      <c r="CN148" s="1341"/>
      <c r="CO148" s="1341"/>
      <c r="CP148" s="1341"/>
      <c r="CQ148" s="1341"/>
      <c r="CR148" s="1341"/>
      <c r="CS148" s="1341"/>
      <c r="CT148" s="1341"/>
      <c r="CU148" s="1341"/>
      <c r="CV148" s="1341"/>
      <c r="CW148" s="1341"/>
      <c r="CX148" s="1341"/>
      <c r="CY148" s="1341"/>
      <c r="CZ148" s="1341"/>
      <c r="DA148" s="1341"/>
      <c r="DB148" s="1341"/>
      <c r="DC148" s="1341"/>
      <c r="DD148" s="1341"/>
      <c r="DE148" s="1341"/>
      <c r="DF148" s="1341"/>
      <c r="DG148" s="1341"/>
      <c r="DH148" s="1341"/>
      <c r="DI148" s="1341"/>
      <c r="DJ148" s="1341"/>
      <c r="DK148" s="1341"/>
      <c r="DL148" s="1341"/>
      <c r="DM148" s="1341"/>
      <c r="DN148" s="1341"/>
      <c r="DO148" s="1341"/>
      <c r="DP148" s="1341"/>
      <c r="DQ148" s="1341"/>
      <c r="DR148" s="1341"/>
      <c r="DS148" s="1341"/>
      <c r="DT148" s="1341"/>
      <c r="DU148" s="1341"/>
      <c r="DV148" s="1341"/>
      <c r="DW148" s="1341"/>
      <c r="DX148" s="1341"/>
      <c r="DY148" s="1341"/>
      <c r="DZ148" s="1341"/>
      <c r="EA148" s="1341"/>
      <c r="EB148" s="1341"/>
      <c r="EC148" s="1341"/>
      <c r="ED148" s="1341"/>
      <c r="EE148" s="1341"/>
      <c r="EF148" s="1341"/>
      <c r="EG148" s="1341"/>
      <c r="EH148" s="1341"/>
      <c r="EI148" s="1341"/>
      <c r="EJ148" s="1341"/>
      <c r="EK148" s="1341"/>
      <c r="EL148" s="1341"/>
      <c r="EM148" s="1341"/>
      <c r="EN148" s="1341"/>
      <c r="EO148" s="1341"/>
      <c r="EP148" s="1341"/>
      <c r="EQ148" s="1341"/>
      <c r="ER148" s="1341"/>
      <c r="ES148" s="1341"/>
      <c r="ET148" s="1341"/>
      <c r="EU148" s="1341"/>
      <c r="EV148" s="1341"/>
      <c r="EW148" s="1341"/>
      <c r="EX148" s="1341"/>
      <c r="EY148" s="1341"/>
      <c r="EZ148" s="1341"/>
      <c r="FA148" s="1341"/>
      <c r="FB148" s="1341"/>
      <c r="FC148" s="1341"/>
      <c r="FD148" s="1341"/>
      <c r="FE148" s="1341"/>
      <c r="FF148" s="1341"/>
      <c r="FG148" s="1341"/>
      <c r="FH148" s="1341"/>
      <c r="FI148" s="1341"/>
      <c r="FJ148" s="1341"/>
      <c r="FK148" s="1341"/>
      <c r="FL148" s="1341"/>
      <c r="FM148" s="1341"/>
      <c r="FN148" s="1341"/>
      <c r="FO148" s="1341"/>
      <c r="FP148" s="1341"/>
      <c r="FQ148" s="1341"/>
      <c r="FR148" s="1341"/>
      <c r="FS148" s="1341"/>
      <c r="FT148" s="1341"/>
      <c r="FU148" s="1341"/>
      <c r="FV148" s="1341"/>
      <c r="FW148" s="1341"/>
      <c r="FX148" s="1341"/>
      <c r="FY148" s="1341"/>
      <c r="FZ148" s="1341"/>
      <c r="GA148" s="1341"/>
      <c r="GB148" s="1341"/>
      <c r="GC148" s="1341"/>
      <c r="GD148" s="1341"/>
      <c r="GE148" s="1341"/>
      <c r="GF148" s="1341"/>
      <c r="GG148" s="1341"/>
      <c r="GH148" s="1341"/>
      <c r="GI148" s="1341"/>
      <c r="GJ148" s="1341"/>
      <c r="GK148" s="1341"/>
      <c r="GL148" s="1341"/>
      <c r="GM148" s="1341"/>
      <c r="GN148" s="1341"/>
      <c r="GO148" s="1341"/>
      <c r="GP148" s="1341"/>
      <c r="GQ148" s="1341"/>
      <c r="GR148" s="1341"/>
      <c r="GS148" s="1341"/>
      <c r="GT148" s="1341"/>
      <c r="GU148" s="1341"/>
      <c r="GV148" s="1341"/>
      <c r="GW148" s="1341"/>
      <c r="GX148" s="1341"/>
      <c r="GY148" s="1341"/>
      <c r="GZ148" s="1341"/>
      <c r="HA148" s="1341"/>
      <c r="HB148" s="1341"/>
      <c r="HC148" s="1341"/>
      <c r="HD148" s="1341"/>
      <c r="HE148" s="1341"/>
      <c r="HF148" s="1341"/>
      <c r="HG148" s="1341"/>
      <c r="HH148" s="1341"/>
      <c r="HI148" s="1341"/>
      <c r="HJ148" s="1341"/>
      <c r="HK148" s="1341"/>
      <c r="HL148" s="1341"/>
      <c r="HM148" s="1341"/>
      <c r="HN148" s="1341"/>
      <c r="HO148" s="1341"/>
      <c r="HP148" s="1341"/>
      <c r="HQ148" s="1341"/>
      <c r="HR148" s="1341"/>
      <c r="HS148" s="1341"/>
      <c r="HT148" s="1341"/>
      <c r="HU148" s="1341"/>
      <c r="HV148" s="1341"/>
      <c r="HW148" s="1341"/>
      <c r="HX148" s="1341"/>
      <c r="HY148" s="1341"/>
      <c r="HZ148" s="1341"/>
      <c r="IA148" s="1341"/>
      <c r="IB148" s="1341"/>
      <c r="IC148" s="1341"/>
      <c r="ID148" s="1341"/>
      <c r="IE148" s="1341"/>
      <c r="IF148" s="1341"/>
      <c r="IG148" s="1341"/>
      <c r="IH148" s="1341"/>
      <c r="II148" s="1341"/>
      <c r="IJ148" s="1341"/>
      <c r="IK148" s="1341"/>
    </row>
    <row r="149" spans="1:245" s="1281" customFormat="1" ht="27" customHeight="1">
      <c r="A149" s="1411"/>
      <c r="B149" s="1411"/>
      <c r="C149" s="1287"/>
      <c r="D149" s="1294" t="s">
        <v>1004</v>
      </c>
      <c r="E149" s="1329"/>
      <c r="F149" s="1329"/>
      <c r="G149" s="1329"/>
      <c r="H149" s="1329"/>
      <c r="I149" s="1329"/>
      <c r="J149" s="1339" t="s">
        <v>526</v>
      </c>
      <c r="K149" s="1340"/>
      <c r="L149" s="1340"/>
      <c r="M149" s="1340"/>
      <c r="N149" s="1340"/>
      <c r="O149" s="1340"/>
      <c r="P149" s="1340"/>
      <c r="Q149" s="1340"/>
      <c r="R149" s="1340"/>
      <c r="S149" s="1340"/>
      <c r="T149" s="1340"/>
      <c r="U149" s="1340"/>
      <c r="V149" s="1340"/>
      <c r="W149" s="1340"/>
      <c r="X149" s="1340"/>
      <c r="Y149" s="1340"/>
      <c r="Z149" s="1340"/>
      <c r="AA149" s="1340"/>
      <c r="AB149" s="1340"/>
      <c r="AC149" s="1340"/>
      <c r="AD149" s="1340"/>
      <c r="AE149" s="1340"/>
      <c r="AF149" s="1340"/>
      <c r="AG149" s="1340"/>
      <c r="AH149" s="1341"/>
      <c r="AI149" s="1341"/>
      <c r="AJ149" s="1341"/>
      <c r="AK149" s="1341"/>
      <c r="AL149" s="1341"/>
      <c r="AM149" s="1341"/>
      <c r="AN149" s="1341"/>
      <c r="AO149" s="1341"/>
      <c r="AP149" s="1341"/>
      <c r="AQ149" s="1341"/>
      <c r="AR149" s="1341"/>
      <c r="AS149" s="1341"/>
      <c r="AT149" s="1341"/>
      <c r="AU149" s="1341"/>
      <c r="AV149" s="1341"/>
      <c r="AW149" s="1341"/>
      <c r="AX149" s="1341"/>
      <c r="AY149" s="1341"/>
      <c r="AZ149" s="1341"/>
      <c r="BA149" s="1341"/>
      <c r="BB149" s="1341"/>
      <c r="BC149" s="1341"/>
      <c r="BD149" s="1341"/>
      <c r="BE149" s="1341"/>
      <c r="BF149" s="1341"/>
      <c r="BG149" s="1341"/>
      <c r="BH149" s="1341"/>
      <c r="BI149" s="1341"/>
      <c r="BJ149" s="1341"/>
      <c r="BK149" s="1341"/>
      <c r="BL149" s="1341"/>
      <c r="BM149" s="1341"/>
      <c r="BN149" s="1341"/>
      <c r="BO149" s="1341"/>
      <c r="BP149" s="1341"/>
      <c r="BQ149" s="1341"/>
      <c r="BR149" s="1341"/>
      <c r="BS149" s="1341"/>
      <c r="BT149" s="1341"/>
      <c r="BU149" s="1341"/>
      <c r="BV149" s="1341"/>
      <c r="BW149" s="1341"/>
      <c r="BX149" s="1341"/>
      <c r="BY149" s="1341"/>
      <c r="BZ149" s="1341"/>
      <c r="CA149" s="1341"/>
      <c r="CB149" s="1341"/>
      <c r="CC149" s="1341"/>
      <c r="CD149" s="1341"/>
      <c r="CE149" s="1341"/>
      <c r="CF149" s="1341"/>
      <c r="CG149" s="1341"/>
      <c r="CH149" s="1341"/>
      <c r="CI149" s="1341"/>
      <c r="CJ149" s="1341"/>
      <c r="CK149" s="1341"/>
      <c r="CL149" s="1341"/>
      <c r="CM149" s="1341"/>
      <c r="CN149" s="1341"/>
      <c r="CO149" s="1341"/>
      <c r="CP149" s="1341"/>
      <c r="CQ149" s="1341"/>
      <c r="CR149" s="1341"/>
      <c r="CS149" s="1341"/>
      <c r="CT149" s="1341"/>
      <c r="CU149" s="1341"/>
      <c r="CV149" s="1341"/>
      <c r="CW149" s="1341"/>
      <c r="CX149" s="1341"/>
      <c r="CY149" s="1341"/>
      <c r="CZ149" s="1341"/>
      <c r="DA149" s="1341"/>
      <c r="DB149" s="1341"/>
      <c r="DC149" s="1341"/>
      <c r="DD149" s="1341"/>
      <c r="DE149" s="1341"/>
      <c r="DF149" s="1341"/>
      <c r="DG149" s="1341"/>
      <c r="DH149" s="1341"/>
      <c r="DI149" s="1341"/>
      <c r="DJ149" s="1341"/>
      <c r="DK149" s="1341"/>
      <c r="DL149" s="1341"/>
      <c r="DM149" s="1341"/>
      <c r="DN149" s="1341"/>
      <c r="DO149" s="1341"/>
      <c r="DP149" s="1341"/>
      <c r="DQ149" s="1341"/>
      <c r="DR149" s="1341"/>
      <c r="DS149" s="1341"/>
      <c r="DT149" s="1341"/>
      <c r="DU149" s="1341"/>
      <c r="DV149" s="1341"/>
      <c r="DW149" s="1341"/>
      <c r="DX149" s="1341"/>
      <c r="DY149" s="1341"/>
      <c r="DZ149" s="1341"/>
      <c r="EA149" s="1341"/>
      <c r="EB149" s="1341"/>
      <c r="EC149" s="1341"/>
      <c r="ED149" s="1341"/>
      <c r="EE149" s="1341"/>
      <c r="EF149" s="1341"/>
      <c r="EG149" s="1341"/>
      <c r="EH149" s="1341"/>
      <c r="EI149" s="1341"/>
      <c r="EJ149" s="1341"/>
      <c r="EK149" s="1341"/>
      <c r="EL149" s="1341"/>
      <c r="EM149" s="1341"/>
      <c r="EN149" s="1341"/>
      <c r="EO149" s="1341"/>
      <c r="EP149" s="1341"/>
      <c r="EQ149" s="1341"/>
      <c r="ER149" s="1341"/>
      <c r="ES149" s="1341"/>
      <c r="ET149" s="1341"/>
      <c r="EU149" s="1341"/>
      <c r="EV149" s="1341"/>
      <c r="EW149" s="1341"/>
      <c r="EX149" s="1341"/>
      <c r="EY149" s="1341"/>
      <c r="EZ149" s="1341"/>
      <c r="FA149" s="1341"/>
      <c r="FB149" s="1341"/>
      <c r="FC149" s="1341"/>
      <c r="FD149" s="1341"/>
      <c r="FE149" s="1341"/>
      <c r="FF149" s="1341"/>
      <c r="FG149" s="1341"/>
      <c r="FH149" s="1341"/>
      <c r="FI149" s="1341"/>
      <c r="FJ149" s="1341"/>
      <c r="FK149" s="1341"/>
      <c r="FL149" s="1341"/>
      <c r="FM149" s="1341"/>
      <c r="FN149" s="1341"/>
      <c r="FO149" s="1341"/>
      <c r="FP149" s="1341"/>
      <c r="FQ149" s="1341"/>
      <c r="FR149" s="1341"/>
      <c r="FS149" s="1341"/>
      <c r="FT149" s="1341"/>
      <c r="FU149" s="1341"/>
      <c r="FV149" s="1341"/>
      <c r="FW149" s="1341"/>
      <c r="FX149" s="1341"/>
      <c r="FY149" s="1341"/>
      <c r="FZ149" s="1341"/>
      <c r="GA149" s="1341"/>
      <c r="GB149" s="1341"/>
      <c r="GC149" s="1341"/>
      <c r="GD149" s="1341"/>
      <c r="GE149" s="1341"/>
      <c r="GF149" s="1341"/>
      <c r="GG149" s="1341"/>
      <c r="GH149" s="1341"/>
      <c r="GI149" s="1341"/>
      <c r="GJ149" s="1341"/>
      <c r="GK149" s="1341"/>
      <c r="GL149" s="1341"/>
      <c r="GM149" s="1341"/>
      <c r="GN149" s="1341"/>
      <c r="GO149" s="1341"/>
      <c r="GP149" s="1341"/>
      <c r="GQ149" s="1341"/>
      <c r="GR149" s="1341"/>
      <c r="GS149" s="1341"/>
      <c r="GT149" s="1341"/>
      <c r="GU149" s="1341"/>
      <c r="GV149" s="1341"/>
      <c r="GW149" s="1341"/>
      <c r="GX149" s="1341"/>
      <c r="GY149" s="1341"/>
      <c r="GZ149" s="1341"/>
      <c r="HA149" s="1341"/>
      <c r="HB149" s="1341"/>
      <c r="HC149" s="1341"/>
      <c r="HD149" s="1341"/>
      <c r="HE149" s="1341"/>
      <c r="HF149" s="1341"/>
      <c r="HG149" s="1341"/>
      <c r="HH149" s="1341"/>
      <c r="HI149" s="1341"/>
      <c r="HJ149" s="1341"/>
      <c r="HK149" s="1341"/>
      <c r="HL149" s="1341"/>
      <c r="HM149" s="1341"/>
      <c r="HN149" s="1341"/>
      <c r="HO149" s="1341"/>
      <c r="HP149" s="1341"/>
      <c r="HQ149" s="1341"/>
      <c r="HR149" s="1341"/>
      <c r="HS149" s="1341"/>
      <c r="HT149" s="1341"/>
      <c r="HU149" s="1341"/>
      <c r="HV149" s="1341"/>
      <c r="HW149" s="1341"/>
      <c r="HX149" s="1341"/>
      <c r="HY149" s="1341"/>
      <c r="HZ149" s="1341"/>
      <c r="IA149" s="1341"/>
      <c r="IB149" s="1341"/>
      <c r="IC149" s="1341"/>
      <c r="ID149" s="1341"/>
      <c r="IE149" s="1341"/>
      <c r="IF149" s="1341"/>
      <c r="IG149" s="1341"/>
      <c r="IH149" s="1341"/>
      <c r="II149" s="1341"/>
      <c r="IJ149" s="1341"/>
      <c r="IK149" s="1341"/>
    </row>
    <row r="150" spans="1:245" s="1281" customFormat="1" ht="27" customHeight="1">
      <c r="A150" s="1411"/>
      <c r="B150" s="1411"/>
      <c r="C150" s="1287"/>
      <c r="D150" s="1294" t="s">
        <v>1013</v>
      </c>
      <c r="E150" s="1329"/>
      <c r="F150" s="1329"/>
      <c r="G150" s="1329"/>
      <c r="H150" s="1329"/>
      <c r="I150" s="1329"/>
      <c r="J150" s="1339" t="s">
        <v>526</v>
      </c>
      <c r="K150" s="1340"/>
      <c r="L150" s="1340"/>
      <c r="M150" s="1340"/>
      <c r="N150" s="1340"/>
      <c r="O150" s="1340"/>
      <c r="P150" s="1340"/>
      <c r="Q150" s="1340"/>
      <c r="R150" s="1340"/>
      <c r="S150" s="1340"/>
      <c r="T150" s="1340"/>
      <c r="U150" s="1340"/>
      <c r="V150" s="1340"/>
      <c r="W150" s="1340"/>
      <c r="X150" s="1340"/>
      <c r="Y150" s="1340"/>
      <c r="Z150" s="1340"/>
      <c r="AA150" s="1340"/>
      <c r="AB150" s="1340"/>
      <c r="AC150" s="1340"/>
      <c r="AD150" s="1340"/>
      <c r="AE150" s="1340"/>
      <c r="AF150" s="1340"/>
      <c r="AG150" s="1340"/>
      <c r="AH150" s="1341"/>
      <c r="AI150" s="1341"/>
      <c r="AJ150" s="1341"/>
      <c r="AK150" s="1341"/>
      <c r="AL150" s="1341"/>
      <c r="AM150" s="1341"/>
      <c r="AN150" s="1341"/>
      <c r="AO150" s="1341"/>
      <c r="AP150" s="1341"/>
      <c r="AQ150" s="1341"/>
      <c r="AR150" s="1341"/>
      <c r="AS150" s="1341"/>
      <c r="AT150" s="1341"/>
      <c r="AU150" s="1341"/>
      <c r="AV150" s="1341"/>
      <c r="AW150" s="1341"/>
      <c r="AX150" s="1341"/>
      <c r="AY150" s="1341"/>
      <c r="AZ150" s="1341"/>
      <c r="BA150" s="1341"/>
      <c r="BB150" s="1341"/>
      <c r="BC150" s="1341"/>
      <c r="BD150" s="1341"/>
      <c r="BE150" s="1341"/>
      <c r="BF150" s="1341"/>
      <c r="BG150" s="1341"/>
      <c r="BH150" s="1341"/>
      <c r="BI150" s="1341"/>
      <c r="BJ150" s="1341"/>
      <c r="BK150" s="1341"/>
      <c r="BL150" s="1341"/>
      <c r="BM150" s="1341"/>
      <c r="BN150" s="1341"/>
      <c r="BO150" s="1341"/>
      <c r="BP150" s="1341"/>
      <c r="BQ150" s="1341"/>
      <c r="BR150" s="1341"/>
      <c r="BS150" s="1341"/>
      <c r="BT150" s="1341"/>
      <c r="BU150" s="1341"/>
      <c r="BV150" s="1341"/>
      <c r="BW150" s="1341"/>
      <c r="BX150" s="1341"/>
      <c r="BY150" s="1341"/>
      <c r="BZ150" s="1341"/>
      <c r="CA150" s="1341"/>
      <c r="CB150" s="1341"/>
      <c r="CC150" s="1341"/>
      <c r="CD150" s="1341"/>
      <c r="CE150" s="1341"/>
      <c r="CF150" s="1341"/>
      <c r="CG150" s="1341"/>
      <c r="CH150" s="1341"/>
      <c r="CI150" s="1341"/>
      <c r="CJ150" s="1341"/>
      <c r="CK150" s="1341"/>
      <c r="CL150" s="1341"/>
      <c r="CM150" s="1341"/>
      <c r="CN150" s="1341"/>
      <c r="CO150" s="1341"/>
      <c r="CP150" s="1341"/>
      <c r="CQ150" s="1341"/>
      <c r="CR150" s="1341"/>
      <c r="CS150" s="1341"/>
      <c r="CT150" s="1341"/>
      <c r="CU150" s="1341"/>
      <c r="CV150" s="1341"/>
      <c r="CW150" s="1341"/>
      <c r="CX150" s="1341"/>
      <c r="CY150" s="1341"/>
      <c r="CZ150" s="1341"/>
      <c r="DA150" s="1341"/>
      <c r="DB150" s="1341"/>
      <c r="DC150" s="1341"/>
      <c r="DD150" s="1341"/>
      <c r="DE150" s="1341"/>
      <c r="DF150" s="1341"/>
      <c r="DG150" s="1341"/>
      <c r="DH150" s="1341"/>
      <c r="DI150" s="1341"/>
      <c r="DJ150" s="1341"/>
      <c r="DK150" s="1341"/>
      <c r="DL150" s="1341"/>
      <c r="DM150" s="1341"/>
      <c r="DN150" s="1341"/>
      <c r="DO150" s="1341"/>
      <c r="DP150" s="1341"/>
      <c r="DQ150" s="1341"/>
      <c r="DR150" s="1341"/>
      <c r="DS150" s="1341"/>
      <c r="DT150" s="1341"/>
      <c r="DU150" s="1341"/>
      <c r="DV150" s="1341"/>
      <c r="DW150" s="1341"/>
      <c r="DX150" s="1341"/>
      <c r="DY150" s="1341"/>
      <c r="DZ150" s="1341"/>
      <c r="EA150" s="1341"/>
      <c r="EB150" s="1341"/>
      <c r="EC150" s="1341"/>
      <c r="ED150" s="1341"/>
      <c r="EE150" s="1341"/>
      <c r="EF150" s="1341"/>
      <c r="EG150" s="1341"/>
      <c r="EH150" s="1341"/>
      <c r="EI150" s="1341"/>
      <c r="EJ150" s="1341"/>
      <c r="EK150" s="1341"/>
      <c r="EL150" s="1341"/>
      <c r="EM150" s="1341"/>
      <c r="EN150" s="1341"/>
      <c r="EO150" s="1341"/>
      <c r="EP150" s="1341"/>
      <c r="EQ150" s="1341"/>
      <c r="ER150" s="1341"/>
      <c r="ES150" s="1341"/>
      <c r="ET150" s="1341"/>
      <c r="EU150" s="1341"/>
      <c r="EV150" s="1341"/>
      <c r="EW150" s="1341"/>
      <c r="EX150" s="1341"/>
      <c r="EY150" s="1341"/>
      <c r="EZ150" s="1341"/>
      <c r="FA150" s="1341"/>
      <c r="FB150" s="1341"/>
      <c r="FC150" s="1341"/>
      <c r="FD150" s="1341"/>
      <c r="FE150" s="1341"/>
      <c r="FF150" s="1341"/>
      <c r="FG150" s="1341"/>
      <c r="FH150" s="1341"/>
      <c r="FI150" s="1341"/>
      <c r="FJ150" s="1341"/>
      <c r="FK150" s="1341"/>
      <c r="FL150" s="1341"/>
      <c r="FM150" s="1341"/>
      <c r="FN150" s="1341"/>
      <c r="FO150" s="1341"/>
      <c r="FP150" s="1341"/>
      <c r="FQ150" s="1341"/>
      <c r="FR150" s="1341"/>
      <c r="FS150" s="1341"/>
      <c r="FT150" s="1341"/>
      <c r="FU150" s="1341"/>
      <c r="FV150" s="1341"/>
      <c r="FW150" s="1341"/>
      <c r="FX150" s="1341"/>
      <c r="FY150" s="1341"/>
      <c r="FZ150" s="1341"/>
      <c r="GA150" s="1341"/>
      <c r="GB150" s="1341"/>
      <c r="GC150" s="1341"/>
      <c r="GD150" s="1341"/>
      <c r="GE150" s="1341"/>
      <c r="GF150" s="1341"/>
      <c r="GG150" s="1341"/>
      <c r="GH150" s="1341"/>
      <c r="GI150" s="1341"/>
      <c r="GJ150" s="1341"/>
      <c r="GK150" s="1341"/>
      <c r="GL150" s="1341"/>
      <c r="GM150" s="1341"/>
      <c r="GN150" s="1341"/>
      <c r="GO150" s="1341"/>
      <c r="GP150" s="1341"/>
      <c r="GQ150" s="1341"/>
      <c r="GR150" s="1341"/>
      <c r="GS150" s="1341"/>
      <c r="GT150" s="1341"/>
      <c r="GU150" s="1341"/>
      <c r="GV150" s="1341"/>
      <c r="GW150" s="1341"/>
      <c r="GX150" s="1341"/>
      <c r="GY150" s="1341"/>
      <c r="GZ150" s="1341"/>
      <c r="HA150" s="1341"/>
      <c r="HB150" s="1341"/>
      <c r="HC150" s="1341"/>
      <c r="HD150" s="1341"/>
      <c r="HE150" s="1341"/>
      <c r="HF150" s="1341"/>
      <c r="HG150" s="1341"/>
      <c r="HH150" s="1341"/>
      <c r="HI150" s="1341"/>
      <c r="HJ150" s="1341"/>
      <c r="HK150" s="1341"/>
      <c r="HL150" s="1341"/>
      <c r="HM150" s="1341"/>
      <c r="HN150" s="1341"/>
      <c r="HO150" s="1341"/>
      <c r="HP150" s="1341"/>
      <c r="HQ150" s="1341"/>
      <c r="HR150" s="1341"/>
      <c r="HS150" s="1341"/>
      <c r="HT150" s="1341"/>
      <c r="HU150" s="1341"/>
      <c r="HV150" s="1341"/>
      <c r="HW150" s="1341"/>
      <c r="HX150" s="1341"/>
      <c r="HY150" s="1341"/>
      <c r="HZ150" s="1341"/>
      <c r="IA150" s="1341"/>
      <c r="IB150" s="1341"/>
      <c r="IC150" s="1341"/>
      <c r="ID150" s="1341"/>
      <c r="IE150" s="1341"/>
      <c r="IF150" s="1341"/>
      <c r="IG150" s="1341"/>
      <c r="IH150" s="1341"/>
      <c r="II150" s="1341"/>
      <c r="IJ150" s="1341"/>
      <c r="IK150" s="1341"/>
    </row>
    <row r="151" spans="1:245" s="1281" customFormat="1" ht="27" customHeight="1">
      <c r="A151" s="1411"/>
      <c r="B151" s="1411"/>
      <c r="C151" s="1287"/>
      <c r="D151" s="1294" t="s">
        <v>301</v>
      </c>
      <c r="E151" s="1329"/>
      <c r="F151" s="1329"/>
      <c r="G151" s="1329"/>
      <c r="H151" s="1329"/>
      <c r="I151" s="1329"/>
      <c r="J151" s="1339" t="s">
        <v>526</v>
      </c>
      <c r="K151" s="1340"/>
      <c r="L151" s="1340"/>
      <c r="M151" s="1340"/>
      <c r="N151" s="1340"/>
      <c r="O151" s="1340"/>
      <c r="P151" s="1340"/>
      <c r="Q151" s="1340"/>
      <c r="R151" s="1340"/>
      <c r="S151" s="1340"/>
      <c r="T151" s="1340"/>
      <c r="U151" s="1340"/>
      <c r="V151" s="1340"/>
      <c r="W151" s="1340"/>
      <c r="X151" s="1340"/>
      <c r="Y151" s="1340"/>
      <c r="Z151" s="1340"/>
      <c r="AA151" s="1340"/>
      <c r="AB151" s="1340"/>
      <c r="AC151" s="1340"/>
      <c r="AD151" s="1340"/>
      <c r="AE151" s="1340"/>
      <c r="AF151" s="1340"/>
      <c r="AG151" s="1340"/>
      <c r="AH151" s="1341"/>
      <c r="AI151" s="1341"/>
      <c r="AJ151" s="1341"/>
      <c r="AK151" s="1341"/>
      <c r="AL151" s="1341"/>
      <c r="AM151" s="1341"/>
      <c r="AN151" s="1341"/>
      <c r="AO151" s="1341"/>
      <c r="AP151" s="1341"/>
      <c r="AQ151" s="1341"/>
      <c r="AR151" s="1341"/>
      <c r="AS151" s="1341"/>
      <c r="AT151" s="1341"/>
      <c r="AU151" s="1341"/>
      <c r="AV151" s="1341"/>
      <c r="AW151" s="1341"/>
      <c r="AX151" s="1341"/>
      <c r="AY151" s="1341"/>
      <c r="AZ151" s="1341"/>
      <c r="BA151" s="1341"/>
      <c r="BB151" s="1341"/>
      <c r="BC151" s="1341"/>
      <c r="BD151" s="1341"/>
      <c r="BE151" s="1341"/>
      <c r="BF151" s="1341"/>
      <c r="BG151" s="1341"/>
      <c r="BH151" s="1341"/>
      <c r="BI151" s="1341"/>
      <c r="BJ151" s="1341"/>
      <c r="BK151" s="1341"/>
      <c r="BL151" s="1341"/>
      <c r="BM151" s="1341"/>
      <c r="BN151" s="1341"/>
      <c r="BO151" s="1341"/>
      <c r="BP151" s="1341"/>
      <c r="BQ151" s="1341"/>
      <c r="BR151" s="1341"/>
      <c r="BS151" s="1341"/>
      <c r="BT151" s="1341"/>
      <c r="BU151" s="1341"/>
      <c r="BV151" s="1341"/>
      <c r="BW151" s="1341"/>
      <c r="BX151" s="1341"/>
      <c r="BY151" s="1341"/>
      <c r="BZ151" s="1341"/>
      <c r="CA151" s="1341"/>
      <c r="CB151" s="1341"/>
      <c r="CC151" s="1341"/>
      <c r="CD151" s="1341"/>
      <c r="CE151" s="1341"/>
      <c r="CF151" s="1341"/>
      <c r="CG151" s="1341"/>
      <c r="CH151" s="1341"/>
      <c r="CI151" s="1341"/>
      <c r="CJ151" s="1341"/>
      <c r="CK151" s="1341"/>
      <c r="CL151" s="1341"/>
      <c r="CM151" s="1341"/>
      <c r="CN151" s="1341"/>
      <c r="CO151" s="1341"/>
      <c r="CP151" s="1341"/>
      <c r="CQ151" s="1341"/>
      <c r="CR151" s="1341"/>
      <c r="CS151" s="1341"/>
      <c r="CT151" s="1341"/>
      <c r="CU151" s="1341"/>
      <c r="CV151" s="1341"/>
      <c r="CW151" s="1341"/>
      <c r="CX151" s="1341"/>
      <c r="CY151" s="1341"/>
      <c r="CZ151" s="1341"/>
      <c r="DA151" s="1341"/>
      <c r="DB151" s="1341"/>
      <c r="DC151" s="1341"/>
      <c r="DD151" s="1341"/>
      <c r="DE151" s="1341"/>
      <c r="DF151" s="1341"/>
      <c r="DG151" s="1341"/>
      <c r="DH151" s="1341"/>
      <c r="DI151" s="1341"/>
      <c r="DJ151" s="1341"/>
      <c r="DK151" s="1341"/>
      <c r="DL151" s="1341"/>
      <c r="DM151" s="1341"/>
      <c r="DN151" s="1341"/>
      <c r="DO151" s="1341"/>
      <c r="DP151" s="1341"/>
      <c r="DQ151" s="1341"/>
      <c r="DR151" s="1341"/>
      <c r="DS151" s="1341"/>
      <c r="DT151" s="1341"/>
      <c r="DU151" s="1341"/>
      <c r="DV151" s="1341"/>
      <c r="DW151" s="1341"/>
      <c r="DX151" s="1341"/>
      <c r="DY151" s="1341"/>
      <c r="DZ151" s="1341"/>
      <c r="EA151" s="1341"/>
      <c r="EB151" s="1341"/>
      <c r="EC151" s="1341"/>
      <c r="ED151" s="1341"/>
      <c r="EE151" s="1341"/>
      <c r="EF151" s="1341"/>
      <c r="EG151" s="1341"/>
      <c r="EH151" s="1341"/>
      <c r="EI151" s="1341"/>
      <c r="EJ151" s="1341"/>
      <c r="EK151" s="1341"/>
      <c r="EL151" s="1341"/>
      <c r="EM151" s="1341"/>
      <c r="EN151" s="1341"/>
      <c r="EO151" s="1341"/>
      <c r="EP151" s="1341"/>
      <c r="EQ151" s="1341"/>
      <c r="ER151" s="1341"/>
      <c r="ES151" s="1341"/>
      <c r="ET151" s="1341"/>
      <c r="EU151" s="1341"/>
      <c r="EV151" s="1341"/>
      <c r="EW151" s="1341"/>
      <c r="EX151" s="1341"/>
      <c r="EY151" s="1341"/>
      <c r="EZ151" s="1341"/>
      <c r="FA151" s="1341"/>
      <c r="FB151" s="1341"/>
      <c r="FC151" s="1341"/>
      <c r="FD151" s="1341"/>
      <c r="FE151" s="1341"/>
      <c r="FF151" s="1341"/>
      <c r="FG151" s="1341"/>
      <c r="FH151" s="1341"/>
      <c r="FI151" s="1341"/>
      <c r="FJ151" s="1341"/>
      <c r="FK151" s="1341"/>
      <c r="FL151" s="1341"/>
      <c r="FM151" s="1341"/>
      <c r="FN151" s="1341"/>
      <c r="FO151" s="1341"/>
      <c r="FP151" s="1341"/>
      <c r="FQ151" s="1341"/>
      <c r="FR151" s="1341"/>
      <c r="FS151" s="1341"/>
      <c r="FT151" s="1341"/>
      <c r="FU151" s="1341"/>
      <c r="FV151" s="1341"/>
      <c r="FW151" s="1341"/>
      <c r="FX151" s="1341"/>
      <c r="FY151" s="1341"/>
      <c r="FZ151" s="1341"/>
      <c r="GA151" s="1341"/>
      <c r="GB151" s="1341"/>
      <c r="GC151" s="1341"/>
      <c r="GD151" s="1341"/>
      <c r="GE151" s="1341"/>
      <c r="GF151" s="1341"/>
      <c r="GG151" s="1341"/>
      <c r="GH151" s="1341"/>
      <c r="GI151" s="1341"/>
      <c r="GJ151" s="1341"/>
      <c r="GK151" s="1341"/>
      <c r="GL151" s="1341"/>
      <c r="GM151" s="1341"/>
      <c r="GN151" s="1341"/>
      <c r="GO151" s="1341"/>
      <c r="GP151" s="1341"/>
      <c r="GQ151" s="1341"/>
      <c r="GR151" s="1341"/>
      <c r="GS151" s="1341"/>
      <c r="GT151" s="1341"/>
      <c r="GU151" s="1341"/>
      <c r="GV151" s="1341"/>
      <c r="GW151" s="1341"/>
      <c r="GX151" s="1341"/>
      <c r="GY151" s="1341"/>
      <c r="GZ151" s="1341"/>
      <c r="HA151" s="1341"/>
      <c r="HB151" s="1341"/>
      <c r="HC151" s="1341"/>
      <c r="HD151" s="1341"/>
      <c r="HE151" s="1341"/>
      <c r="HF151" s="1341"/>
      <c r="HG151" s="1341"/>
      <c r="HH151" s="1341"/>
      <c r="HI151" s="1341"/>
      <c r="HJ151" s="1341"/>
      <c r="HK151" s="1341"/>
      <c r="HL151" s="1341"/>
      <c r="HM151" s="1341"/>
      <c r="HN151" s="1341"/>
      <c r="HO151" s="1341"/>
      <c r="HP151" s="1341"/>
      <c r="HQ151" s="1341"/>
      <c r="HR151" s="1341"/>
      <c r="HS151" s="1341"/>
      <c r="HT151" s="1341"/>
      <c r="HU151" s="1341"/>
      <c r="HV151" s="1341"/>
      <c r="HW151" s="1341"/>
      <c r="HX151" s="1341"/>
      <c r="HY151" s="1341"/>
      <c r="HZ151" s="1341"/>
      <c r="IA151" s="1341"/>
      <c r="IB151" s="1341"/>
      <c r="IC151" s="1341"/>
      <c r="ID151" s="1341"/>
      <c r="IE151" s="1341"/>
      <c r="IF151" s="1341"/>
      <c r="IG151" s="1341"/>
      <c r="IH151" s="1341"/>
      <c r="II151" s="1341"/>
      <c r="IJ151" s="1341"/>
      <c r="IK151" s="1341"/>
    </row>
    <row r="152" spans="1:245" s="1310" customFormat="1" ht="41.25" customHeight="1">
      <c r="A152" s="1304"/>
      <c r="B152" s="1298">
        <v>85415</v>
      </c>
      <c r="C152" s="1271"/>
      <c r="D152" s="1299" t="s">
        <v>96</v>
      </c>
      <c r="E152" s="1300"/>
      <c r="F152" s="1301">
        <f>F153+F154</f>
        <v>53956</v>
      </c>
      <c r="G152" s="1301">
        <f>G153+G154</f>
        <v>25424</v>
      </c>
      <c r="H152" s="1301"/>
      <c r="I152" s="1301"/>
      <c r="J152" s="1296"/>
      <c r="K152" s="1297"/>
      <c r="L152" s="1297"/>
      <c r="M152" s="1297"/>
      <c r="N152" s="1297"/>
      <c r="O152" s="1297"/>
      <c r="P152" s="1297"/>
      <c r="Q152" s="1297"/>
      <c r="R152" s="1297"/>
      <c r="S152" s="1297"/>
      <c r="T152" s="1297"/>
      <c r="U152" s="1297"/>
      <c r="V152" s="1297"/>
      <c r="W152" s="1297"/>
      <c r="X152" s="1297"/>
      <c r="Y152" s="1297"/>
      <c r="Z152" s="1297"/>
      <c r="AA152" s="1297"/>
      <c r="AB152" s="1297"/>
      <c r="AC152" s="1297"/>
      <c r="AD152" s="1297"/>
      <c r="AE152" s="1297"/>
      <c r="AF152" s="1297"/>
      <c r="AG152" s="1297"/>
      <c r="AH152" s="1352"/>
      <c r="AI152" s="1352"/>
      <c r="AJ152" s="1352"/>
      <c r="AK152" s="1352"/>
      <c r="AL152" s="1352"/>
      <c r="AM152" s="1352"/>
      <c r="AN152" s="1352"/>
      <c r="AO152" s="1352"/>
      <c r="AP152" s="1352"/>
      <c r="AQ152" s="1352"/>
      <c r="AR152" s="1352"/>
      <c r="AS152" s="1352"/>
      <c r="AT152" s="1352"/>
      <c r="AU152" s="1352"/>
      <c r="AV152" s="1352"/>
      <c r="AW152" s="1352"/>
      <c r="AX152" s="1352"/>
      <c r="AY152" s="1352"/>
      <c r="AZ152" s="1352"/>
      <c r="BA152" s="1352"/>
      <c r="BB152" s="1352"/>
      <c r="BC152" s="1352"/>
      <c r="BD152" s="1352"/>
      <c r="BE152" s="1352"/>
      <c r="BF152" s="1352"/>
      <c r="BG152" s="1352"/>
      <c r="BH152" s="1352"/>
      <c r="BI152" s="1352"/>
      <c r="BJ152" s="1352"/>
      <c r="BK152" s="1352"/>
      <c r="BL152" s="1352"/>
      <c r="BM152" s="1352"/>
      <c r="BN152" s="1352"/>
      <c r="BO152" s="1352"/>
      <c r="BP152" s="1352"/>
      <c r="BQ152" s="1352"/>
      <c r="BR152" s="1352"/>
      <c r="BS152" s="1352"/>
      <c r="BT152" s="1352"/>
      <c r="BU152" s="1352"/>
      <c r="BV152" s="1352"/>
      <c r="BW152" s="1352"/>
      <c r="BX152" s="1352"/>
      <c r="BY152" s="1352"/>
      <c r="BZ152" s="1352"/>
      <c r="CA152" s="1352"/>
      <c r="CB152" s="1352"/>
      <c r="CC152" s="1352"/>
      <c r="CD152" s="1352"/>
      <c r="CE152" s="1352"/>
      <c r="CF152" s="1352"/>
      <c r="CG152" s="1352"/>
      <c r="CH152" s="1352"/>
      <c r="CI152" s="1352"/>
      <c r="CJ152" s="1352"/>
      <c r="CK152" s="1352"/>
      <c r="CL152" s="1352"/>
      <c r="CM152" s="1352"/>
      <c r="CN152" s="1352"/>
      <c r="CO152" s="1352"/>
      <c r="CP152" s="1352"/>
      <c r="CQ152" s="1352"/>
      <c r="CR152" s="1352"/>
      <c r="CS152" s="1352"/>
      <c r="CT152" s="1352"/>
      <c r="CU152" s="1352"/>
      <c r="CV152" s="1352"/>
      <c r="CW152" s="1352"/>
      <c r="CX152" s="1352"/>
      <c r="CY152" s="1352"/>
      <c r="CZ152" s="1352"/>
      <c r="DA152" s="1352"/>
      <c r="DB152" s="1352"/>
      <c r="DC152" s="1352"/>
      <c r="DD152" s="1352"/>
      <c r="DE152" s="1352"/>
      <c r="DF152" s="1352"/>
      <c r="DG152" s="1352"/>
      <c r="DH152" s="1352"/>
      <c r="DI152" s="1352"/>
      <c r="DJ152" s="1352"/>
      <c r="DK152" s="1352"/>
      <c r="DL152" s="1352"/>
      <c r="DM152" s="1352"/>
      <c r="DN152" s="1352"/>
      <c r="DO152" s="1352"/>
      <c r="DP152" s="1352"/>
      <c r="DQ152" s="1352"/>
      <c r="DR152" s="1352"/>
      <c r="DS152" s="1352"/>
      <c r="DT152" s="1352"/>
      <c r="DU152" s="1352"/>
      <c r="DV152" s="1352"/>
      <c r="DW152" s="1352"/>
      <c r="DX152" s="1352"/>
      <c r="DY152" s="1352"/>
      <c r="DZ152" s="1352"/>
      <c r="EA152" s="1352"/>
      <c r="EB152" s="1352"/>
      <c r="EC152" s="1352"/>
      <c r="ED152" s="1352"/>
      <c r="EE152" s="1352"/>
      <c r="EF152" s="1352"/>
      <c r="EG152" s="1352"/>
      <c r="EH152" s="1352"/>
      <c r="EI152" s="1352"/>
      <c r="EJ152" s="1352"/>
      <c r="EK152" s="1352"/>
      <c r="EL152" s="1352"/>
      <c r="EM152" s="1352"/>
      <c r="EN152" s="1352"/>
      <c r="EO152" s="1352"/>
      <c r="EP152" s="1352"/>
      <c r="EQ152" s="1352"/>
      <c r="ER152" s="1352"/>
      <c r="ES152" s="1352"/>
      <c r="ET152" s="1352"/>
      <c r="EU152" s="1352"/>
      <c r="EV152" s="1352"/>
      <c r="EW152" s="1352"/>
      <c r="EX152" s="1352"/>
      <c r="EY152" s="1352"/>
      <c r="EZ152" s="1352"/>
      <c r="FA152" s="1352"/>
      <c r="FB152" s="1352"/>
      <c r="FC152" s="1352"/>
      <c r="FD152" s="1352"/>
      <c r="FE152" s="1352"/>
      <c r="FF152" s="1352"/>
      <c r="FG152" s="1352"/>
      <c r="FH152" s="1352"/>
      <c r="FI152" s="1352"/>
      <c r="FJ152" s="1352"/>
      <c r="FK152" s="1352"/>
      <c r="FL152" s="1352"/>
      <c r="FM152" s="1352"/>
      <c r="FN152" s="1352"/>
      <c r="FO152" s="1352"/>
      <c r="FP152" s="1352"/>
      <c r="FQ152" s="1352"/>
      <c r="FR152" s="1352"/>
      <c r="FS152" s="1352"/>
      <c r="FT152" s="1352"/>
      <c r="FU152" s="1352"/>
      <c r="FV152" s="1352"/>
      <c r="FW152" s="1352"/>
      <c r="FX152" s="1352"/>
      <c r="FY152" s="1352"/>
      <c r="FZ152" s="1352"/>
      <c r="GA152" s="1352"/>
      <c r="GB152" s="1352"/>
      <c r="GC152" s="1352"/>
      <c r="GD152" s="1352"/>
      <c r="GE152" s="1352"/>
      <c r="GF152" s="1352"/>
      <c r="GG152" s="1352"/>
      <c r="GH152" s="1352"/>
      <c r="GI152" s="1352"/>
      <c r="GJ152" s="1352"/>
      <c r="GK152" s="1352"/>
      <c r="GL152" s="1352"/>
      <c r="GM152" s="1352"/>
      <c r="GN152" s="1352"/>
      <c r="GO152" s="1352"/>
      <c r="GP152" s="1352"/>
      <c r="GQ152" s="1352"/>
      <c r="GR152" s="1352"/>
      <c r="GS152" s="1352"/>
      <c r="GT152" s="1352"/>
      <c r="GU152" s="1352"/>
      <c r="GV152" s="1352"/>
      <c r="GW152" s="1352"/>
      <c r="GX152" s="1352"/>
      <c r="GY152" s="1352"/>
      <c r="GZ152" s="1352"/>
      <c r="HA152" s="1352"/>
      <c r="HB152" s="1352"/>
      <c r="HC152" s="1352"/>
      <c r="HD152" s="1352"/>
      <c r="HE152" s="1352"/>
      <c r="HF152" s="1352"/>
      <c r="HG152" s="1352"/>
      <c r="HH152" s="1352"/>
      <c r="HI152" s="1352"/>
      <c r="HJ152" s="1352"/>
      <c r="HK152" s="1352"/>
      <c r="HL152" s="1352"/>
      <c r="HM152" s="1352"/>
      <c r="HN152" s="1352"/>
      <c r="HO152" s="1352"/>
      <c r="HP152" s="1352"/>
      <c r="HQ152" s="1352"/>
      <c r="HR152" s="1352"/>
      <c r="HS152" s="1352"/>
      <c r="HT152" s="1352"/>
      <c r="HU152" s="1352"/>
      <c r="HV152" s="1352"/>
      <c r="HW152" s="1352"/>
      <c r="HX152" s="1352"/>
      <c r="HY152" s="1352"/>
      <c r="HZ152" s="1352"/>
      <c r="IA152" s="1352"/>
      <c r="IB152" s="1352"/>
      <c r="IC152" s="1352"/>
      <c r="ID152" s="1352"/>
      <c r="IE152" s="1352"/>
      <c r="IF152" s="1352"/>
      <c r="IG152" s="1352"/>
      <c r="IH152" s="1352"/>
      <c r="II152" s="1352"/>
      <c r="IJ152" s="1352"/>
      <c r="IK152" s="1352"/>
    </row>
    <row r="153" spans="1:245" s="1281" customFormat="1" ht="61.5" customHeight="1">
      <c r="A153" s="1411"/>
      <c r="B153" s="1411"/>
      <c r="C153" s="1292">
        <v>1</v>
      </c>
      <c r="D153" s="1315" t="s">
        <v>302</v>
      </c>
      <c r="E153" s="1285">
        <v>2888</v>
      </c>
      <c r="F153" s="1330">
        <v>36717</v>
      </c>
      <c r="G153" s="1286">
        <v>17301</v>
      </c>
      <c r="H153" s="1286"/>
      <c r="I153" s="1286"/>
      <c r="J153" s="1339"/>
      <c r="K153" s="1340"/>
      <c r="L153" s="1340"/>
      <c r="M153" s="1340"/>
      <c r="N153" s="1340"/>
      <c r="O153" s="1340"/>
      <c r="P153" s="1340"/>
      <c r="Q153" s="1340"/>
      <c r="R153" s="1340"/>
      <c r="S153" s="1340"/>
      <c r="T153" s="1340"/>
      <c r="U153" s="1340"/>
      <c r="V153" s="1340"/>
      <c r="W153" s="1340"/>
      <c r="X153" s="1340"/>
      <c r="Y153" s="1340"/>
      <c r="Z153" s="1340"/>
      <c r="AA153" s="1340"/>
      <c r="AB153" s="1340"/>
      <c r="AC153" s="1340"/>
      <c r="AD153" s="1340"/>
      <c r="AE153" s="1340"/>
      <c r="AF153" s="1340"/>
      <c r="AG153" s="1340"/>
      <c r="AH153" s="1341"/>
      <c r="AI153" s="1341"/>
      <c r="AJ153" s="1341"/>
      <c r="AK153" s="1341"/>
      <c r="AL153" s="1341"/>
      <c r="AM153" s="1341"/>
      <c r="AN153" s="1341"/>
      <c r="AO153" s="1341"/>
      <c r="AP153" s="1341"/>
      <c r="AQ153" s="1341"/>
      <c r="AR153" s="1341"/>
      <c r="AS153" s="1341"/>
      <c r="AT153" s="1341"/>
      <c r="AU153" s="1341"/>
      <c r="AV153" s="1341"/>
      <c r="AW153" s="1341"/>
      <c r="AX153" s="1341"/>
      <c r="AY153" s="1341"/>
      <c r="AZ153" s="1341"/>
      <c r="BA153" s="1341"/>
      <c r="BB153" s="1341"/>
      <c r="BC153" s="1341"/>
      <c r="BD153" s="1341"/>
      <c r="BE153" s="1341"/>
      <c r="BF153" s="1341"/>
      <c r="BG153" s="1341"/>
      <c r="BH153" s="1341"/>
      <c r="BI153" s="1341"/>
      <c r="BJ153" s="1341"/>
      <c r="BK153" s="1341"/>
      <c r="BL153" s="1341"/>
      <c r="BM153" s="1341"/>
      <c r="BN153" s="1341"/>
      <c r="BO153" s="1341"/>
      <c r="BP153" s="1341"/>
      <c r="BQ153" s="1341"/>
      <c r="BR153" s="1341"/>
      <c r="BS153" s="1341"/>
      <c r="BT153" s="1341"/>
      <c r="BU153" s="1341"/>
      <c r="BV153" s="1341"/>
      <c r="BW153" s="1341"/>
      <c r="BX153" s="1341"/>
      <c r="BY153" s="1341"/>
      <c r="BZ153" s="1341"/>
      <c r="CA153" s="1341"/>
      <c r="CB153" s="1341"/>
      <c r="CC153" s="1341"/>
      <c r="CD153" s="1341"/>
      <c r="CE153" s="1341"/>
      <c r="CF153" s="1341"/>
      <c r="CG153" s="1341"/>
      <c r="CH153" s="1341"/>
      <c r="CI153" s="1341"/>
      <c r="CJ153" s="1341"/>
      <c r="CK153" s="1341"/>
      <c r="CL153" s="1341"/>
      <c r="CM153" s="1341"/>
      <c r="CN153" s="1341"/>
      <c r="CO153" s="1341"/>
      <c r="CP153" s="1341"/>
      <c r="CQ153" s="1341"/>
      <c r="CR153" s="1341"/>
      <c r="CS153" s="1341"/>
      <c r="CT153" s="1341"/>
      <c r="CU153" s="1341"/>
      <c r="CV153" s="1341"/>
      <c r="CW153" s="1341"/>
      <c r="CX153" s="1341"/>
      <c r="CY153" s="1341"/>
      <c r="CZ153" s="1341"/>
      <c r="DA153" s="1341"/>
      <c r="DB153" s="1341"/>
      <c r="DC153" s="1341"/>
      <c r="DD153" s="1341"/>
      <c r="DE153" s="1341"/>
      <c r="DF153" s="1341"/>
      <c r="DG153" s="1341"/>
      <c r="DH153" s="1341"/>
      <c r="DI153" s="1341"/>
      <c r="DJ153" s="1341"/>
      <c r="DK153" s="1341"/>
      <c r="DL153" s="1341"/>
      <c r="DM153" s="1341"/>
      <c r="DN153" s="1341"/>
      <c r="DO153" s="1341"/>
      <c r="DP153" s="1341"/>
      <c r="DQ153" s="1341"/>
      <c r="DR153" s="1341"/>
      <c r="DS153" s="1341"/>
      <c r="DT153" s="1341"/>
      <c r="DU153" s="1341"/>
      <c r="DV153" s="1341"/>
      <c r="DW153" s="1341"/>
      <c r="DX153" s="1341"/>
      <c r="DY153" s="1341"/>
      <c r="DZ153" s="1341"/>
      <c r="EA153" s="1341"/>
      <c r="EB153" s="1341"/>
      <c r="EC153" s="1341"/>
      <c r="ED153" s="1341"/>
      <c r="EE153" s="1341"/>
      <c r="EF153" s="1341"/>
      <c r="EG153" s="1341"/>
      <c r="EH153" s="1341"/>
      <c r="EI153" s="1341"/>
      <c r="EJ153" s="1341"/>
      <c r="EK153" s="1341"/>
      <c r="EL153" s="1341"/>
      <c r="EM153" s="1341"/>
      <c r="EN153" s="1341"/>
      <c r="EO153" s="1341"/>
      <c r="EP153" s="1341"/>
      <c r="EQ153" s="1341"/>
      <c r="ER153" s="1341"/>
      <c r="ES153" s="1341"/>
      <c r="ET153" s="1341"/>
      <c r="EU153" s="1341"/>
      <c r="EV153" s="1341"/>
      <c r="EW153" s="1341"/>
      <c r="EX153" s="1341"/>
      <c r="EY153" s="1341"/>
      <c r="EZ153" s="1341"/>
      <c r="FA153" s="1341"/>
      <c r="FB153" s="1341"/>
      <c r="FC153" s="1341"/>
      <c r="FD153" s="1341"/>
      <c r="FE153" s="1341"/>
      <c r="FF153" s="1341"/>
      <c r="FG153" s="1341"/>
      <c r="FH153" s="1341"/>
      <c r="FI153" s="1341"/>
      <c r="FJ153" s="1341"/>
      <c r="FK153" s="1341"/>
      <c r="FL153" s="1341"/>
      <c r="FM153" s="1341"/>
      <c r="FN153" s="1341"/>
      <c r="FO153" s="1341"/>
      <c r="FP153" s="1341"/>
      <c r="FQ153" s="1341"/>
      <c r="FR153" s="1341"/>
      <c r="FS153" s="1341"/>
      <c r="FT153" s="1341"/>
      <c r="FU153" s="1341"/>
      <c r="FV153" s="1341"/>
      <c r="FW153" s="1341"/>
      <c r="FX153" s="1341"/>
      <c r="FY153" s="1341"/>
      <c r="FZ153" s="1341"/>
      <c r="GA153" s="1341"/>
      <c r="GB153" s="1341"/>
      <c r="GC153" s="1341"/>
      <c r="GD153" s="1341"/>
      <c r="GE153" s="1341"/>
      <c r="GF153" s="1341"/>
      <c r="GG153" s="1341"/>
      <c r="GH153" s="1341"/>
      <c r="GI153" s="1341"/>
      <c r="GJ153" s="1341"/>
      <c r="GK153" s="1341"/>
      <c r="GL153" s="1341"/>
      <c r="GM153" s="1341"/>
      <c r="GN153" s="1341"/>
      <c r="GO153" s="1341"/>
      <c r="GP153" s="1341"/>
      <c r="GQ153" s="1341"/>
      <c r="GR153" s="1341"/>
      <c r="GS153" s="1341"/>
      <c r="GT153" s="1341"/>
      <c r="GU153" s="1341"/>
      <c r="GV153" s="1341"/>
      <c r="GW153" s="1341"/>
      <c r="GX153" s="1341"/>
      <c r="GY153" s="1341"/>
      <c r="GZ153" s="1341"/>
      <c r="HA153" s="1341"/>
      <c r="HB153" s="1341"/>
      <c r="HC153" s="1341"/>
      <c r="HD153" s="1341"/>
      <c r="HE153" s="1341"/>
      <c r="HF153" s="1341"/>
      <c r="HG153" s="1341"/>
      <c r="HH153" s="1341"/>
      <c r="HI153" s="1341"/>
      <c r="HJ153" s="1341"/>
      <c r="HK153" s="1341"/>
      <c r="HL153" s="1341"/>
      <c r="HM153" s="1341"/>
      <c r="HN153" s="1341"/>
      <c r="HO153" s="1341"/>
      <c r="HP153" s="1341"/>
      <c r="HQ153" s="1341"/>
      <c r="HR153" s="1341"/>
      <c r="HS153" s="1341"/>
      <c r="HT153" s="1341"/>
      <c r="HU153" s="1341"/>
      <c r="HV153" s="1341"/>
      <c r="HW153" s="1341"/>
      <c r="HX153" s="1341"/>
      <c r="HY153" s="1341"/>
      <c r="HZ153" s="1341"/>
      <c r="IA153" s="1341"/>
      <c r="IB153" s="1341"/>
      <c r="IC153" s="1341"/>
      <c r="ID153" s="1341"/>
      <c r="IE153" s="1341"/>
      <c r="IF153" s="1341"/>
      <c r="IG153" s="1341"/>
      <c r="IH153" s="1341"/>
      <c r="II153" s="1341"/>
      <c r="IJ153" s="1341"/>
      <c r="IK153" s="1341"/>
    </row>
    <row r="154" spans="1:245" s="1281" customFormat="1" ht="61.5" customHeight="1">
      <c r="A154" s="1411"/>
      <c r="B154" s="1411"/>
      <c r="C154" s="1292">
        <v>2</v>
      </c>
      <c r="D154" s="1315" t="s">
        <v>302</v>
      </c>
      <c r="E154" s="1285">
        <v>2889</v>
      </c>
      <c r="F154" s="1330">
        <v>17239</v>
      </c>
      <c r="G154" s="1286">
        <v>8123</v>
      </c>
      <c r="H154" s="1286"/>
      <c r="I154" s="1286"/>
      <c r="J154" s="1339"/>
      <c r="K154" s="1340"/>
      <c r="L154" s="1340"/>
      <c r="M154" s="1340"/>
      <c r="N154" s="1340"/>
      <c r="O154" s="1340"/>
      <c r="P154" s="1340"/>
      <c r="Q154" s="1340"/>
      <c r="R154" s="1340"/>
      <c r="S154" s="1340"/>
      <c r="T154" s="1340"/>
      <c r="U154" s="1340"/>
      <c r="V154" s="1340"/>
      <c r="W154" s="1340"/>
      <c r="X154" s="1340"/>
      <c r="Y154" s="1340"/>
      <c r="Z154" s="1340"/>
      <c r="AA154" s="1340"/>
      <c r="AB154" s="1340"/>
      <c r="AC154" s="1340"/>
      <c r="AD154" s="1340"/>
      <c r="AE154" s="1340"/>
      <c r="AF154" s="1340"/>
      <c r="AG154" s="1340"/>
      <c r="AH154" s="1341"/>
      <c r="AI154" s="1341"/>
      <c r="AJ154" s="1341"/>
      <c r="AK154" s="1341"/>
      <c r="AL154" s="1341"/>
      <c r="AM154" s="1341"/>
      <c r="AN154" s="1341"/>
      <c r="AO154" s="1341"/>
      <c r="AP154" s="1341"/>
      <c r="AQ154" s="1341"/>
      <c r="AR154" s="1341"/>
      <c r="AS154" s="1341"/>
      <c r="AT154" s="1341"/>
      <c r="AU154" s="1341"/>
      <c r="AV154" s="1341"/>
      <c r="AW154" s="1341"/>
      <c r="AX154" s="1341"/>
      <c r="AY154" s="1341"/>
      <c r="AZ154" s="1341"/>
      <c r="BA154" s="1341"/>
      <c r="BB154" s="1341"/>
      <c r="BC154" s="1341"/>
      <c r="BD154" s="1341"/>
      <c r="BE154" s="1341"/>
      <c r="BF154" s="1341"/>
      <c r="BG154" s="1341"/>
      <c r="BH154" s="1341"/>
      <c r="BI154" s="1341"/>
      <c r="BJ154" s="1341"/>
      <c r="BK154" s="1341"/>
      <c r="BL154" s="1341"/>
      <c r="BM154" s="1341"/>
      <c r="BN154" s="1341"/>
      <c r="BO154" s="1341"/>
      <c r="BP154" s="1341"/>
      <c r="BQ154" s="1341"/>
      <c r="BR154" s="1341"/>
      <c r="BS154" s="1341"/>
      <c r="BT154" s="1341"/>
      <c r="BU154" s="1341"/>
      <c r="BV154" s="1341"/>
      <c r="BW154" s="1341"/>
      <c r="BX154" s="1341"/>
      <c r="BY154" s="1341"/>
      <c r="BZ154" s="1341"/>
      <c r="CA154" s="1341"/>
      <c r="CB154" s="1341"/>
      <c r="CC154" s="1341"/>
      <c r="CD154" s="1341"/>
      <c r="CE154" s="1341"/>
      <c r="CF154" s="1341"/>
      <c r="CG154" s="1341"/>
      <c r="CH154" s="1341"/>
      <c r="CI154" s="1341"/>
      <c r="CJ154" s="1341"/>
      <c r="CK154" s="1341"/>
      <c r="CL154" s="1341"/>
      <c r="CM154" s="1341"/>
      <c r="CN154" s="1341"/>
      <c r="CO154" s="1341"/>
      <c r="CP154" s="1341"/>
      <c r="CQ154" s="1341"/>
      <c r="CR154" s="1341"/>
      <c r="CS154" s="1341"/>
      <c r="CT154" s="1341"/>
      <c r="CU154" s="1341"/>
      <c r="CV154" s="1341"/>
      <c r="CW154" s="1341"/>
      <c r="CX154" s="1341"/>
      <c r="CY154" s="1341"/>
      <c r="CZ154" s="1341"/>
      <c r="DA154" s="1341"/>
      <c r="DB154" s="1341"/>
      <c r="DC154" s="1341"/>
      <c r="DD154" s="1341"/>
      <c r="DE154" s="1341"/>
      <c r="DF154" s="1341"/>
      <c r="DG154" s="1341"/>
      <c r="DH154" s="1341"/>
      <c r="DI154" s="1341"/>
      <c r="DJ154" s="1341"/>
      <c r="DK154" s="1341"/>
      <c r="DL154" s="1341"/>
      <c r="DM154" s="1341"/>
      <c r="DN154" s="1341"/>
      <c r="DO154" s="1341"/>
      <c r="DP154" s="1341"/>
      <c r="DQ154" s="1341"/>
      <c r="DR154" s="1341"/>
      <c r="DS154" s="1341"/>
      <c r="DT154" s="1341"/>
      <c r="DU154" s="1341"/>
      <c r="DV154" s="1341"/>
      <c r="DW154" s="1341"/>
      <c r="DX154" s="1341"/>
      <c r="DY154" s="1341"/>
      <c r="DZ154" s="1341"/>
      <c r="EA154" s="1341"/>
      <c r="EB154" s="1341"/>
      <c r="EC154" s="1341"/>
      <c r="ED154" s="1341"/>
      <c r="EE154" s="1341"/>
      <c r="EF154" s="1341"/>
      <c r="EG154" s="1341"/>
      <c r="EH154" s="1341"/>
      <c r="EI154" s="1341"/>
      <c r="EJ154" s="1341"/>
      <c r="EK154" s="1341"/>
      <c r="EL154" s="1341"/>
      <c r="EM154" s="1341"/>
      <c r="EN154" s="1341"/>
      <c r="EO154" s="1341"/>
      <c r="EP154" s="1341"/>
      <c r="EQ154" s="1341"/>
      <c r="ER154" s="1341"/>
      <c r="ES154" s="1341"/>
      <c r="ET154" s="1341"/>
      <c r="EU154" s="1341"/>
      <c r="EV154" s="1341"/>
      <c r="EW154" s="1341"/>
      <c r="EX154" s="1341"/>
      <c r="EY154" s="1341"/>
      <c r="EZ154" s="1341"/>
      <c r="FA154" s="1341"/>
      <c r="FB154" s="1341"/>
      <c r="FC154" s="1341"/>
      <c r="FD154" s="1341"/>
      <c r="FE154" s="1341"/>
      <c r="FF154" s="1341"/>
      <c r="FG154" s="1341"/>
      <c r="FH154" s="1341"/>
      <c r="FI154" s="1341"/>
      <c r="FJ154" s="1341"/>
      <c r="FK154" s="1341"/>
      <c r="FL154" s="1341"/>
      <c r="FM154" s="1341"/>
      <c r="FN154" s="1341"/>
      <c r="FO154" s="1341"/>
      <c r="FP154" s="1341"/>
      <c r="FQ154" s="1341"/>
      <c r="FR154" s="1341"/>
      <c r="FS154" s="1341"/>
      <c r="FT154" s="1341"/>
      <c r="FU154" s="1341"/>
      <c r="FV154" s="1341"/>
      <c r="FW154" s="1341"/>
      <c r="FX154" s="1341"/>
      <c r="FY154" s="1341"/>
      <c r="FZ154" s="1341"/>
      <c r="GA154" s="1341"/>
      <c r="GB154" s="1341"/>
      <c r="GC154" s="1341"/>
      <c r="GD154" s="1341"/>
      <c r="GE154" s="1341"/>
      <c r="GF154" s="1341"/>
      <c r="GG154" s="1341"/>
      <c r="GH154" s="1341"/>
      <c r="GI154" s="1341"/>
      <c r="GJ154" s="1341"/>
      <c r="GK154" s="1341"/>
      <c r="GL154" s="1341"/>
      <c r="GM154" s="1341"/>
      <c r="GN154" s="1341"/>
      <c r="GO154" s="1341"/>
      <c r="GP154" s="1341"/>
      <c r="GQ154" s="1341"/>
      <c r="GR154" s="1341"/>
      <c r="GS154" s="1341"/>
      <c r="GT154" s="1341"/>
      <c r="GU154" s="1341"/>
      <c r="GV154" s="1341"/>
      <c r="GW154" s="1341"/>
      <c r="GX154" s="1341"/>
      <c r="GY154" s="1341"/>
      <c r="GZ154" s="1341"/>
      <c r="HA154" s="1341"/>
      <c r="HB154" s="1341"/>
      <c r="HC154" s="1341"/>
      <c r="HD154" s="1341"/>
      <c r="HE154" s="1341"/>
      <c r="HF154" s="1341"/>
      <c r="HG154" s="1341"/>
      <c r="HH154" s="1341"/>
      <c r="HI154" s="1341"/>
      <c r="HJ154" s="1341"/>
      <c r="HK154" s="1341"/>
      <c r="HL154" s="1341"/>
      <c r="HM154" s="1341"/>
      <c r="HN154" s="1341"/>
      <c r="HO154" s="1341"/>
      <c r="HP154" s="1341"/>
      <c r="HQ154" s="1341"/>
      <c r="HR154" s="1341"/>
      <c r="HS154" s="1341"/>
      <c r="HT154" s="1341"/>
      <c r="HU154" s="1341"/>
      <c r="HV154" s="1341"/>
      <c r="HW154" s="1341"/>
      <c r="HX154" s="1341"/>
      <c r="HY154" s="1341"/>
      <c r="HZ154" s="1341"/>
      <c r="IA154" s="1341"/>
      <c r="IB154" s="1341"/>
      <c r="IC154" s="1341"/>
      <c r="ID154" s="1341"/>
      <c r="IE154" s="1341"/>
      <c r="IF154" s="1341"/>
      <c r="IG154" s="1341"/>
      <c r="IH154" s="1341"/>
      <c r="II154" s="1341"/>
      <c r="IJ154" s="1341"/>
      <c r="IK154" s="1341"/>
    </row>
    <row r="155" spans="1:245" s="1268" customFormat="1" ht="45.75" customHeight="1">
      <c r="A155" s="1262">
        <v>11</v>
      </c>
      <c r="B155" s="1262">
        <v>921</v>
      </c>
      <c r="C155" s="1263"/>
      <c r="D155" s="1282" t="s">
        <v>106</v>
      </c>
      <c r="E155" s="1265"/>
      <c r="F155" s="1266"/>
      <c r="G155" s="1266">
        <f>G156</f>
        <v>240230</v>
      </c>
      <c r="H155" s="1266"/>
      <c r="I155" s="1266"/>
      <c r="J155" s="1296"/>
      <c r="K155" s="1297"/>
      <c r="L155" s="1297"/>
      <c r="M155" s="1297"/>
      <c r="N155" s="1297"/>
      <c r="O155" s="1297"/>
      <c r="P155" s="1297"/>
      <c r="Q155" s="1297"/>
      <c r="R155" s="1297"/>
      <c r="S155" s="1297"/>
      <c r="T155" s="1297"/>
      <c r="U155" s="1297"/>
      <c r="V155" s="1297"/>
      <c r="W155" s="1297"/>
      <c r="X155" s="1297"/>
      <c r="Y155" s="1297"/>
      <c r="Z155" s="1297"/>
      <c r="AA155" s="1297"/>
      <c r="AB155" s="1297"/>
      <c r="AC155" s="1297"/>
      <c r="AD155" s="1297"/>
      <c r="AE155" s="1297"/>
      <c r="AF155" s="1297"/>
      <c r="AG155" s="1297"/>
      <c r="AH155" s="1297"/>
      <c r="AI155" s="1297"/>
      <c r="AJ155" s="1297"/>
      <c r="AK155" s="1297"/>
      <c r="AL155" s="1297"/>
      <c r="AM155" s="1297"/>
      <c r="AN155" s="1297"/>
      <c r="AO155" s="1297"/>
      <c r="AP155" s="1297"/>
      <c r="AQ155" s="1297"/>
      <c r="AR155" s="1297"/>
      <c r="AS155" s="1297"/>
      <c r="AT155" s="1297"/>
      <c r="AU155" s="1297"/>
      <c r="AV155" s="1297"/>
      <c r="AW155" s="1297"/>
      <c r="AX155" s="1297"/>
      <c r="AY155" s="1297"/>
      <c r="AZ155" s="1297"/>
      <c r="BA155" s="1297"/>
      <c r="BB155" s="1297"/>
      <c r="BC155" s="1297"/>
      <c r="BD155" s="1297"/>
      <c r="BE155" s="1297"/>
      <c r="BF155" s="1297"/>
      <c r="BG155" s="1297"/>
      <c r="BH155" s="1297"/>
      <c r="BI155" s="1297"/>
      <c r="BJ155" s="1297"/>
      <c r="BK155" s="1297"/>
      <c r="BL155" s="1297"/>
      <c r="BM155" s="1297"/>
      <c r="BN155" s="1297"/>
      <c r="BO155" s="1297"/>
      <c r="BP155" s="1297"/>
      <c r="BQ155" s="1297"/>
      <c r="BR155" s="1297"/>
      <c r="BS155" s="1297"/>
      <c r="BT155" s="1297"/>
      <c r="BU155" s="1297"/>
      <c r="BV155" s="1297"/>
      <c r="BW155" s="1297"/>
      <c r="BX155" s="1297"/>
      <c r="BY155" s="1297"/>
      <c r="BZ155" s="1297"/>
      <c r="CA155" s="1297"/>
      <c r="CB155" s="1297"/>
      <c r="CC155" s="1297"/>
      <c r="CD155" s="1297"/>
      <c r="CE155" s="1297"/>
      <c r="CF155" s="1297"/>
      <c r="CG155" s="1297"/>
      <c r="CH155" s="1297"/>
      <c r="CI155" s="1297"/>
      <c r="CJ155" s="1297"/>
      <c r="CK155" s="1297"/>
      <c r="CL155" s="1297"/>
      <c r="CM155" s="1297"/>
      <c r="CN155" s="1297"/>
      <c r="CO155" s="1297"/>
      <c r="CP155" s="1297"/>
      <c r="CQ155" s="1297"/>
      <c r="CR155" s="1297"/>
      <c r="CS155" s="1297"/>
      <c r="CT155" s="1297"/>
      <c r="CU155" s="1297"/>
      <c r="CV155" s="1297"/>
      <c r="CW155" s="1297"/>
      <c r="CX155" s="1297"/>
      <c r="CY155" s="1297"/>
      <c r="CZ155" s="1297"/>
      <c r="DA155" s="1297"/>
      <c r="DB155" s="1297"/>
      <c r="DC155" s="1297"/>
      <c r="DD155" s="1297"/>
      <c r="DE155" s="1297"/>
      <c r="DF155" s="1297"/>
      <c r="DG155" s="1297"/>
      <c r="DH155" s="1297"/>
      <c r="DI155" s="1297"/>
      <c r="DJ155" s="1297"/>
      <c r="DK155" s="1297"/>
      <c r="DL155" s="1297"/>
      <c r="DM155" s="1297"/>
      <c r="DN155" s="1297"/>
      <c r="DO155" s="1297"/>
      <c r="DP155" s="1297"/>
      <c r="DQ155" s="1297"/>
      <c r="DR155" s="1297"/>
      <c r="DS155" s="1297"/>
      <c r="DT155" s="1297"/>
      <c r="DU155" s="1297"/>
      <c r="DV155" s="1297"/>
      <c r="DW155" s="1297"/>
      <c r="DX155" s="1297"/>
      <c r="DY155" s="1297"/>
      <c r="DZ155" s="1297"/>
      <c r="EA155" s="1297"/>
      <c r="EB155" s="1297"/>
      <c r="EC155" s="1297"/>
      <c r="ED155" s="1297"/>
      <c r="EE155" s="1297"/>
      <c r="EF155" s="1297"/>
      <c r="EG155" s="1297"/>
      <c r="EH155" s="1297"/>
      <c r="EI155" s="1297"/>
      <c r="EJ155" s="1297"/>
      <c r="EK155" s="1297"/>
      <c r="EL155" s="1297"/>
      <c r="EM155" s="1297"/>
      <c r="EN155" s="1297"/>
      <c r="EO155" s="1297"/>
      <c r="EP155" s="1297"/>
      <c r="EQ155" s="1297"/>
      <c r="ER155" s="1297"/>
      <c r="ES155" s="1297"/>
      <c r="ET155" s="1297"/>
      <c r="EU155" s="1297"/>
      <c r="EV155" s="1297"/>
      <c r="EW155" s="1297"/>
      <c r="EX155" s="1297"/>
      <c r="EY155" s="1297"/>
      <c r="EZ155" s="1297"/>
      <c r="FA155" s="1297"/>
      <c r="FB155" s="1297"/>
      <c r="FC155" s="1297"/>
      <c r="FD155" s="1297"/>
      <c r="FE155" s="1297"/>
      <c r="FF155" s="1297"/>
      <c r="FG155" s="1297"/>
      <c r="FH155" s="1297"/>
      <c r="FI155" s="1297"/>
      <c r="FJ155" s="1297"/>
      <c r="FK155" s="1297"/>
      <c r="FL155" s="1297"/>
      <c r="FM155" s="1297"/>
      <c r="FN155" s="1297"/>
      <c r="FO155" s="1297"/>
      <c r="FP155" s="1297"/>
      <c r="FQ155" s="1297"/>
      <c r="FR155" s="1297"/>
      <c r="FS155" s="1297"/>
      <c r="FT155" s="1297"/>
      <c r="FU155" s="1297"/>
      <c r="FV155" s="1297"/>
      <c r="FW155" s="1297"/>
      <c r="FX155" s="1297"/>
      <c r="FY155" s="1297"/>
      <c r="FZ155" s="1297"/>
      <c r="GA155" s="1297"/>
      <c r="GB155" s="1297"/>
      <c r="GC155" s="1297"/>
      <c r="GD155" s="1297"/>
      <c r="GE155" s="1297"/>
      <c r="GF155" s="1297"/>
      <c r="GG155" s="1297"/>
      <c r="GH155" s="1297"/>
      <c r="GI155" s="1297"/>
      <c r="GJ155" s="1297"/>
      <c r="GK155" s="1297"/>
      <c r="GL155" s="1297"/>
      <c r="GM155" s="1297"/>
      <c r="GN155" s="1297"/>
      <c r="GO155" s="1297"/>
      <c r="GP155" s="1297"/>
      <c r="GQ155" s="1297"/>
      <c r="GR155" s="1297"/>
      <c r="GS155" s="1297"/>
      <c r="GT155" s="1297"/>
      <c r="GU155" s="1297"/>
      <c r="GV155" s="1297"/>
      <c r="GW155" s="1297"/>
      <c r="GX155" s="1297"/>
      <c r="GY155" s="1297"/>
      <c r="GZ155" s="1297"/>
      <c r="HA155" s="1297"/>
      <c r="HB155" s="1297"/>
      <c r="HC155" s="1297"/>
      <c r="HD155" s="1297"/>
      <c r="HE155" s="1297"/>
      <c r="HF155" s="1297"/>
      <c r="HG155" s="1297"/>
      <c r="HH155" s="1297"/>
      <c r="HI155" s="1297"/>
      <c r="HJ155" s="1297"/>
      <c r="HK155" s="1297"/>
      <c r="HL155" s="1297"/>
      <c r="HM155" s="1297"/>
      <c r="HN155" s="1297"/>
      <c r="HO155" s="1297"/>
      <c r="HP155" s="1297"/>
      <c r="HQ155" s="1297"/>
      <c r="HR155" s="1297"/>
      <c r="HS155" s="1297"/>
      <c r="HT155" s="1297"/>
      <c r="HU155" s="1297"/>
      <c r="HV155" s="1297"/>
      <c r="HW155" s="1297"/>
      <c r="HX155" s="1297"/>
      <c r="HY155" s="1297"/>
      <c r="HZ155" s="1297"/>
      <c r="IA155" s="1297"/>
      <c r="IB155" s="1297"/>
      <c r="IC155" s="1297"/>
      <c r="ID155" s="1297"/>
      <c r="IE155" s="1297"/>
      <c r="IF155" s="1297"/>
      <c r="IG155" s="1297"/>
      <c r="IH155" s="1297"/>
      <c r="II155" s="1297"/>
      <c r="IJ155" s="1297"/>
      <c r="IK155" s="1297"/>
    </row>
    <row r="156" spans="1:245" s="1310" customFormat="1" ht="41.25" customHeight="1">
      <c r="A156" s="1269"/>
      <c r="B156" s="1298">
        <v>92109</v>
      </c>
      <c r="C156" s="1271"/>
      <c r="D156" s="1299" t="s">
        <v>478</v>
      </c>
      <c r="E156" s="1300"/>
      <c r="F156" s="1301"/>
      <c r="G156" s="1301">
        <f>G157</f>
        <v>240230</v>
      </c>
      <c r="H156" s="1301"/>
      <c r="I156" s="1301"/>
      <c r="J156" s="1296"/>
      <c r="K156" s="1297"/>
      <c r="L156" s="1297"/>
      <c r="M156" s="1297"/>
      <c r="N156" s="1297"/>
      <c r="O156" s="1297"/>
      <c r="P156" s="1297"/>
      <c r="Q156" s="1297"/>
      <c r="R156" s="1297"/>
      <c r="S156" s="1297"/>
      <c r="T156" s="1297"/>
      <c r="U156" s="1297"/>
      <c r="V156" s="1297"/>
      <c r="W156" s="1297"/>
      <c r="X156" s="1297"/>
      <c r="Y156" s="1297"/>
      <c r="Z156" s="1297"/>
      <c r="AA156" s="1297"/>
      <c r="AB156" s="1297"/>
      <c r="AC156" s="1297"/>
      <c r="AD156" s="1297"/>
      <c r="AE156" s="1297"/>
      <c r="AF156" s="1297"/>
      <c r="AG156" s="1297"/>
      <c r="AH156" s="1352"/>
      <c r="AI156" s="1352"/>
      <c r="AJ156" s="1352"/>
      <c r="AK156" s="1352"/>
      <c r="AL156" s="1352"/>
      <c r="AM156" s="1352"/>
      <c r="AN156" s="1352"/>
      <c r="AO156" s="1352"/>
      <c r="AP156" s="1352"/>
      <c r="AQ156" s="1352"/>
      <c r="AR156" s="1352"/>
      <c r="AS156" s="1352"/>
      <c r="AT156" s="1352"/>
      <c r="AU156" s="1352"/>
      <c r="AV156" s="1352"/>
      <c r="AW156" s="1352"/>
      <c r="AX156" s="1352"/>
      <c r="AY156" s="1352"/>
      <c r="AZ156" s="1352"/>
      <c r="BA156" s="1352"/>
      <c r="BB156" s="1352"/>
      <c r="BC156" s="1352"/>
      <c r="BD156" s="1352"/>
      <c r="BE156" s="1352"/>
      <c r="BF156" s="1352"/>
      <c r="BG156" s="1352"/>
      <c r="BH156" s="1352"/>
      <c r="BI156" s="1352"/>
      <c r="BJ156" s="1352"/>
      <c r="BK156" s="1352"/>
      <c r="BL156" s="1352"/>
      <c r="BM156" s="1352"/>
      <c r="BN156" s="1352"/>
      <c r="BO156" s="1352"/>
      <c r="BP156" s="1352"/>
      <c r="BQ156" s="1352"/>
      <c r="BR156" s="1352"/>
      <c r="BS156" s="1352"/>
      <c r="BT156" s="1352"/>
      <c r="BU156" s="1352"/>
      <c r="BV156" s="1352"/>
      <c r="BW156" s="1352"/>
      <c r="BX156" s="1352"/>
      <c r="BY156" s="1352"/>
      <c r="BZ156" s="1352"/>
      <c r="CA156" s="1352"/>
      <c r="CB156" s="1352"/>
      <c r="CC156" s="1352"/>
      <c r="CD156" s="1352"/>
      <c r="CE156" s="1352"/>
      <c r="CF156" s="1352"/>
      <c r="CG156" s="1352"/>
      <c r="CH156" s="1352"/>
      <c r="CI156" s="1352"/>
      <c r="CJ156" s="1352"/>
      <c r="CK156" s="1352"/>
      <c r="CL156" s="1352"/>
      <c r="CM156" s="1352"/>
      <c r="CN156" s="1352"/>
      <c r="CO156" s="1352"/>
      <c r="CP156" s="1352"/>
      <c r="CQ156" s="1352"/>
      <c r="CR156" s="1352"/>
      <c r="CS156" s="1352"/>
      <c r="CT156" s="1352"/>
      <c r="CU156" s="1352"/>
      <c r="CV156" s="1352"/>
      <c r="CW156" s="1352"/>
      <c r="CX156" s="1352"/>
      <c r="CY156" s="1352"/>
      <c r="CZ156" s="1352"/>
      <c r="DA156" s="1352"/>
      <c r="DB156" s="1352"/>
      <c r="DC156" s="1352"/>
      <c r="DD156" s="1352"/>
      <c r="DE156" s="1352"/>
      <c r="DF156" s="1352"/>
      <c r="DG156" s="1352"/>
      <c r="DH156" s="1352"/>
      <c r="DI156" s="1352"/>
      <c r="DJ156" s="1352"/>
      <c r="DK156" s="1352"/>
      <c r="DL156" s="1352"/>
      <c r="DM156" s="1352"/>
      <c r="DN156" s="1352"/>
      <c r="DO156" s="1352"/>
      <c r="DP156" s="1352"/>
      <c r="DQ156" s="1352"/>
      <c r="DR156" s="1352"/>
      <c r="DS156" s="1352"/>
      <c r="DT156" s="1352"/>
      <c r="DU156" s="1352"/>
      <c r="DV156" s="1352"/>
      <c r="DW156" s="1352"/>
      <c r="DX156" s="1352"/>
      <c r="DY156" s="1352"/>
      <c r="DZ156" s="1352"/>
      <c r="EA156" s="1352"/>
      <c r="EB156" s="1352"/>
      <c r="EC156" s="1352"/>
      <c r="ED156" s="1352"/>
      <c r="EE156" s="1352"/>
      <c r="EF156" s="1352"/>
      <c r="EG156" s="1352"/>
      <c r="EH156" s="1352"/>
      <c r="EI156" s="1352"/>
      <c r="EJ156" s="1352"/>
      <c r="EK156" s="1352"/>
      <c r="EL156" s="1352"/>
      <c r="EM156" s="1352"/>
      <c r="EN156" s="1352"/>
      <c r="EO156" s="1352"/>
      <c r="EP156" s="1352"/>
      <c r="EQ156" s="1352"/>
      <c r="ER156" s="1352"/>
      <c r="ES156" s="1352"/>
      <c r="ET156" s="1352"/>
      <c r="EU156" s="1352"/>
      <c r="EV156" s="1352"/>
      <c r="EW156" s="1352"/>
      <c r="EX156" s="1352"/>
      <c r="EY156" s="1352"/>
      <c r="EZ156" s="1352"/>
      <c r="FA156" s="1352"/>
      <c r="FB156" s="1352"/>
      <c r="FC156" s="1352"/>
      <c r="FD156" s="1352"/>
      <c r="FE156" s="1352"/>
      <c r="FF156" s="1352"/>
      <c r="FG156" s="1352"/>
      <c r="FH156" s="1352"/>
      <c r="FI156" s="1352"/>
      <c r="FJ156" s="1352"/>
      <c r="FK156" s="1352"/>
      <c r="FL156" s="1352"/>
      <c r="FM156" s="1352"/>
      <c r="FN156" s="1352"/>
      <c r="FO156" s="1352"/>
      <c r="FP156" s="1352"/>
      <c r="FQ156" s="1352"/>
      <c r="FR156" s="1352"/>
      <c r="FS156" s="1352"/>
      <c r="FT156" s="1352"/>
      <c r="FU156" s="1352"/>
      <c r="FV156" s="1352"/>
      <c r="FW156" s="1352"/>
      <c r="FX156" s="1352"/>
      <c r="FY156" s="1352"/>
      <c r="FZ156" s="1352"/>
      <c r="GA156" s="1352"/>
      <c r="GB156" s="1352"/>
      <c r="GC156" s="1352"/>
      <c r="GD156" s="1352"/>
      <c r="GE156" s="1352"/>
      <c r="GF156" s="1352"/>
      <c r="GG156" s="1352"/>
      <c r="GH156" s="1352"/>
      <c r="GI156" s="1352"/>
      <c r="GJ156" s="1352"/>
      <c r="GK156" s="1352"/>
      <c r="GL156" s="1352"/>
      <c r="GM156" s="1352"/>
      <c r="GN156" s="1352"/>
      <c r="GO156" s="1352"/>
      <c r="GP156" s="1352"/>
      <c r="GQ156" s="1352"/>
      <c r="GR156" s="1352"/>
      <c r="GS156" s="1352"/>
      <c r="GT156" s="1352"/>
      <c r="GU156" s="1352"/>
      <c r="GV156" s="1352"/>
      <c r="GW156" s="1352"/>
      <c r="GX156" s="1352"/>
      <c r="GY156" s="1352"/>
      <c r="GZ156" s="1352"/>
      <c r="HA156" s="1352"/>
      <c r="HB156" s="1352"/>
      <c r="HC156" s="1352"/>
      <c r="HD156" s="1352"/>
      <c r="HE156" s="1352"/>
      <c r="HF156" s="1352"/>
      <c r="HG156" s="1352"/>
      <c r="HH156" s="1352"/>
      <c r="HI156" s="1352"/>
      <c r="HJ156" s="1352"/>
      <c r="HK156" s="1352"/>
      <c r="HL156" s="1352"/>
      <c r="HM156" s="1352"/>
      <c r="HN156" s="1352"/>
      <c r="HO156" s="1352"/>
      <c r="HP156" s="1352"/>
      <c r="HQ156" s="1352"/>
      <c r="HR156" s="1352"/>
      <c r="HS156" s="1352"/>
      <c r="HT156" s="1352"/>
      <c r="HU156" s="1352"/>
      <c r="HV156" s="1352"/>
      <c r="HW156" s="1352"/>
      <c r="HX156" s="1352"/>
      <c r="HY156" s="1352"/>
      <c r="HZ156" s="1352"/>
      <c r="IA156" s="1352"/>
      <c r="IB156" s="1352"/>
      <c r="IC156" s="1352"/>
      <c r="ID156" s="1352"/>
      <c r="IE156" s="1352"/>
      <c r="IF156" s="1352"/>
      <c r="IG156" s="1352"/>
      <c r="IH156" s="1352"/>
      <c r="II156" s="1352"/>
      <c r="IJ156" s="1352"/>
      <c r="IK156" s="1352"/>
    </row>
    <row r="157" spans="1:245" s="1281" customFormat="1" ht="61.5" customHeight="1" thickBot="1">
      <c r="A157" s="1411"/>
      <c r="B157" s="1411"/>
      <c r="C157" s="1292">
        <v>1</v>
      </c>
      <c r="D157" s="1315" t="s">
        <v>411</v>
      </c>
      <c r="E157" s="1285" t="s">
        <v>287</v>
      </c>
      <c r="F157" s="1330"/>
      <c r="G157" s="1286">
        <v>240230</v>
      </c>
      <c r="H157" s="1286"/>
      <c r="I157" s="1286"/>
      <c r="J157" s="1339"/>
      <c r="K157" s="1340"/>
      <c r="L157" s="1340"/>
      <c r="M157" s="1340"/>
      <c r="N157" s="1340"/>
      <c r="O157" s="1340"/>
      <c r="P157" s="1340"/>
      <c r="Q157" s="1340"/>
      <c r="R157" s="1340"/>
      <c r="S157" s="1340"/>
      <c r="T157" s="1340"/>
      <c r="U157" s="1340"/>
      <c r="V157" s="1340"/>
      <c r="W157" s="1340"/>
      <c r="X157" s="1340"/>
      <c r="Y157" s="1340"/>
      <c r="Z157" s="1340"/>
      <c r="AA157" s="1340"/>
      <c r="AB157" s="1340"/>
      <c r="AC157" s="1340"/>
      <c r="AD157" s="1340"/>
      <c r="AE157" s="1340"/>
      <c r="AF157" s="1340"/>
      <c r="AG157" s="1340"/>
      <c r="AH157" s="1341"/>
      <c r="AI157" s="1341"/>
      <c r="AJ157" s="1341"/>
      <c r="AK157" s="1341"/>
      <c r="AL157" s="1341"/>
      <c r="AM157" s="1341"/>
      <c r="AN157" s="1341"/>
      <c r="AO157" s="1341"/>
      <c r="AP157" s="1341"/>
      <c r="AQ157" s="1341"/>
      <c r="AR157" s="1341"/>
      <c r="AS157" s="1341"/>
      <c r="AT157" s="1341"/>
      <c r="AU157" s="1341"/>
      <c r="AV157" s="1341"/>
      <c r="AW157" s="1341"/>
      <c r="AX157" s="1341"/>
      <c r="AY157" s="1341"/>
      <c r="AZ157" s="1341"/>
      <c r="BA157" s="1341"/>
      <c r="BB157" s="1341"/>
      <c r="BC157" s="1341"/>
      <c r="BD157" s="1341"/>
      <c r="BE157" s="1341"/>
      <c r="BF157" s="1341"/>
      <c r="BG157" s="1341"/>
      <c r="BH157" s="1341"/>
      <c r="BI157" s="1341"/>
      <c r="BJ157" s="1341"/>
      <c r="BK157" s="1341"/>
      <c r="BL157" s="1341"/>
      <c r="BM157" s="1341"/>
      <c r="BN157" s="1341"/>
      <c r="BO157" s="1341"/>
      <c r="BP157" s="1341"/>
      <c r="BQ157" s="1341"/>
      <c r="BR157" s="1341"/>
      <c r="BS157" s="1341"/>
      <c r="BT157" s="1341"/>
      <c r="BU157" s="1341"/>
      <c r="BV157" s="1341"/>
      <c r="BW157" s="1341"/>
      <c r="BX157" s="1341"/>
      <c r="BY157" s="1341"/>
      <c r="BZ157" s="1341"/>
      <c r="CA157" s="1341"/>
      <c r="CB157" s="1341"/>
      <c r="CC157" s="1341"/>
      <c r="CD157" s="1341"/>
      <c r="CE157" s="1341"/>
      <c r="CF157" s="1341"/>
      <c r="CG157" s="1341"/>
      <c r="CH157" s="1341"/>
      <c r="CI157" s="1341"/>
      <c r="CJ157" s="1341"/>
      <c r="CK157" s="1341"/>
      <c r="CL157" s="1341"/>
      <c r="CM157" s="1341"/>
      <c r="CN157" s="1341"/>
      <c r="CO157" s="1341"/>
      <c r="CP157" s="1341"/>
      <c r="CQ157" s="1341"/>
      <c r="CR157" s="1341"/>
      <c r="CS157" s="1341"/>
      <c r="CT157" s="1341"/>
      <c r="CU157" s="1341"/>
      <c r="CV157" s="1341"/>
      <c r="CW157" s="1341"/>
      <c r="CX157" s="1341"/>
      <c r="CY157" s="1341"/>
      <c r="CZ157" s="1341"/>
      <c r="DA157" s="1341"/>
      <c r="DB157" s="1341"/>
      <c r="DC157" s="1341"/>
      <c r="DD157" s="1341"/>
      <c r="DE157" s="1341"/>
      <c r="DF157" s="1341"/>
      <c r="DG157" s="1341"/>
      <c r="DH157" s="1341"/>
      <c r="DI157" s="1341"/>
      <c r="DJ157" s="1341"/>
      <c r="DK157" s="1341"/>
      <c r="DL157" s="1341"/>
      <c r="DM157" s="1341"/>
      <c r="DN157" s="1341"/>
      <c r="DO157" s="1341"/>
      <c r="DP157" s="1341"/>
      <c r="DQ157" s="1341"/>
      <c r="DR157" s="1341"/>
      <c r="DS157" s="1341"/>
      <c r="DT157" s="1341"/>
      <c r="DU157" s="1341"/>
      <c r="DV157" s="1341"/>
      <c r="DW157" s="1341"/>
      <c r="DX157" s="1341"/>
      <c r="DY157" s="1341"/>
      <c r="DZ157" s="1341"/>
      <c r="EA157" s="1341"/>
      <c r="EB157" s="1341"/>
      <c r="EC157" s="1341"/>
      <c r="ED157" s="1341"/>
      <c r="EE157" s="1341"/>
      <c r="EF157" s="1341"/>
      <c r="EG157" s="1341"/>
      <c r="EH157" s="1341"/>
      <c r="EI157" s="1341"/>
      <c r="EJ157" s="1341"/>
      <c r="EK157" s="1341"/>
      <c r="EL157" s="1341"/>
      <c r="EM157" s="1341"/>
      <c r="EN157" s="1341"/>
      <c r="EO157" s="1341"/>
      <c r="EP157" s="1341"/>
      <c r="EQ157" s="1341"/>
      <c r="ER157" s="1341"/>
      <c r="ES157" s="1341"/>
      <c r="ET157" s="1341"/>
      <c r="EU157" s="1341"/>
      <c r="EV157" s="1341"/>
      <c r="EW157" s="1341"/>
      <c r="EX157" s="1341"/>
      <c r="EY157" s="1341"/>
      <c r="EZ157" s="1341"/>
      <c r="FA157" s="1341"/>
      <c r="FB157" s="1341"/>
      <c r="FC157" s="1341"/>
      <c r="FD157" s="1341"/>
      <c r="FE157" s="1341"/>
      <c r="FF157" s="1341"/>
      <c r="FG157" s="1341"/>
      <c r="FH157" s="1341"/>
      <c r="FI157" s="1341"/>
      <c r="FJ157" s="1341"/>
      <c r="FK157" s="1341"/>
      <c r="FL157" s="1341"/>
      <c r="FM157" s="1341"/>
      <c r="FN157" s="1341"/>
      <c r="FO157" s="1341"/>
      <c r="FP157" s="1341"/>
      <c r="FQ157" s="1341"/>
      <c r="FR157" s="1341"/>
      <c r="FS157" s="1341"/>
      <c r="FT157" s="1341"/>
      <c r="FU157" s="1341"/>
      <c r="FV157" s="1341"/>
      <c r="FW157" s="1341"/>
      <c r="FX157" s="1341"/>
      <c r="FY157" s="1341"/>
      <c r="FZ157" s="1341"/>
      <c r="GA157" s="1341"/>
      <c r="GB157" s="1341"/>
      <c r="GC157" s="1341"/>
      <c r="GD157" s="1341"/>
      <c r="GE157" s="1341"/>
      <c r="GF157" s="1341"/>
      <c r="GG157" s="1341"/>
      <c r="GH157" s="1341"/>
      <c r="GI157" s="1341"/>
      <c r="GJ157" s="1341"/>
      <c r="GK157" s="1341"/>
      <c r="GL157" s="1341"/>
      <c r="GM157" s="1341"/>
      <c r="GN157" s="1341"/>
      <c r="GO157" s="1341"/>
      <c r="GP157" s="1341"/>
      <c r="GQ157" s="1341"/>
      <c r="GR157" s="1341"/>
      <c r="GS157" s="1341"/>
      <c r="GT157" s="1341"/>
      <c r="GU157" s="1341"/>
      <c r="GV157" s="1341"/>
      <c r="GW157" s="1341"/>
      <c r="GX157" s="1341"/>
      <c r="GY157" s="1341"/>
      <c r="GZ157" s="1341"/>
      <c r="HA157" s="1341"/>
      <c r="HB157" s="1341"/>
      <c r="HC157" s="1341"/>
      <c r="HD157" s="1341"/>
      <c r="HE157" s="1341"/>
      <c r="HF157" s="1341"/>
      <c r="HG157" s="1341"/>
      <c r="HH157" s="1341"/>
      <c r="HI157" s="1341"/>
      <c r="HJ157" s="1341"/>
      <c r="HK157" s="1341"/>
      <c r="HL157" s="1341"/>
      <c r="HM157" s="1341"/>
      <c r="HN157" s="1341"/>
      <c r="HO157" s="1341"/>
      <c r="HP157" s="1341"/>
      <c r="HQ157" s="1341"/>
      <c r="HR157" s="1341"/>
      <c r="HS157" s="1341"/>
      <c r="HT157" s="1341"/>
      <c r="HU157" s="1341"/>
      <c r="HV157" s="1341"/>
      <c r="HW157" s="1341"/>
      <c r="HX157" s="1341"/>
      <c r="HY157" s="1341"/>
      <c r="HZ157" s="1341"/>
      <c r="IA157" s="1341"/>
      <c r="IB157" s="1341"/>
      <c r="IC157" s="1341"/>
      <c r="ID157" s="1341"/>
      <c r="IE157" s="1341"/>
      <c r="IF157" s="1341"/>
      <c r="IG157" s="1341"/>
      <c r="IH157" s="1341"/>
      <c r="II157" s="1341"/>
      <c r="IJ157" s="1341"/>
      <c r="IK157" s="1341"/>
    </row>
    <row r="158" spans="1:33" s="1310" customFormat="1" ht="49.5" customHeight="1" thickTop="1">
      <c r="A158" s="1420"/>
      <c r="B158" s="1421"/>
      <c r="C158" s="1422"/>
      <c r="D158" s="1423" t="s">
        <v>303</v>
      </c>
      <c r="E158" s="1424"/>
      <c r="F158" s="1425">
        <f>F3+F7+F22+F30+F34+F38+F67+F79+F122+F144+F155</f>
        <v>42701371</v>
      </c>
      <c r="G158" s="1425">
        <f>G3+G7+G22+G30+G34+G38+G67+G79+G122+G144+G155</f>
        <v>45980209</v>
      </c>
      <c r="H158" s="1425">
        <f>H3+H7+H22+H30+H34+H38+H67+H79+H122+H144+H155</f>
        <v>6592665</v>
      </c>
      <c r="I158" s="1425">
        <f>I3+I7+I22+I30+I34+I38+I67+I79+I122+I144</f>
        <v>0</v>
      </c>
      <c r="J158" s="1267"/>
      <c r="K158" s="1268"/>
      <c r="L158" s="1268"/>
      <c r="M158" s="1268"/>
      <c r="N158" s="1268"/>
      <c r="O158" s="1268"/>
      <c r="P158" s="1268"/>
      <c r="Q158" s="1268"/>
      <c r="R158" s="1268"/>
      <c r="S158" s="1268"/>
      <c r="T158" s="1268"/>
      <c r="U158" s="1268"/>
      <c r="V158" s="1268"/>
      <c r="W158" s="1268"/>
      <c r="X158" s="1268"/>
      <c r="Y158" s="1268"/>
      <c r="Z158" s="1268"/>
      <c r="AA158" s="1268"/>
      <c r="AB158" s="1268"/>
      <c r="AC158" s="1268"/>
      <c r="AD158" s="1268"/>
      <c r="AE158" s="1268"/>
      <c r="AF158" s="1268"/>
      <c r="AG158" s="1268"/>
    </row>
    <row r="159" spans="1:10" s="1353" customFormat="1" ht="60.75" customHeight="1">
      <c r="A159" s="1426"/>
      <c r="B159" s="1427"/>
      <c r="C159" s="1428"/>
      <c r="D159" s="1429" t="s">
        <v>304</v>
      </c>
      <c r="E159" s="1430"/>
      <c r="F159" s="1431">
        <f>F160+F161</f>
        <v>5600000</v>
      </c>
      <c r="G159" s="1431">
        <f>G160+G161+G162</f>
        <v>5587757</v>
      </c>
      <c r="H159" s="1431"/>
      <c r="I159" s="1431"/>
      <c r="J159" s="1267"/>
    </row>
    <row r="160" spans="1:245" s="1361" customFormat="1" ht="35.25" customHeight="1">
      <c r="A160" s="1432"/>
      <c r="B160" s="1433"/>
      <c r="C160" s="1354">
        <v>1</v>
      </c>
      <c r="D160" s="1355" t="s">
        <v>305</v>
      </c>
      <c r="E160" s="1356">
        <v>952</v>
      </c>
      <c r="F160" s="1357">
        <v>5600000</v>
      </c>
      <c r="G160" s="1357">
        <v>4000000</v>
      </c>
      <c r="H160" s="1357"/>
      <c r="I160" s="1357"/>
      <c r="J160" s="1358"/>
      <c r="K160" s="1359"/>
      <c r="L160" s="1359"/>
      <c r="M160" s="1359"/>
      <c r="N160" s="1359"/>
      <c r="O160" s="1359"/>
      <c r="P160" s="1359"/>
      <c r="Q160" s="1359"/>
      <c r="R160" s="1359"/>
      <c r="S160" s="1359"/>
      <c r="T160" s="1359"/>
      <c r="U160" s="1359"/>
      <c r="V160" s="1359"/>
      <c r="W160" s="1359"/>
      <c r="X160" s="1359"/>
      <c r="Y160" s="1359"/>
      <c r="Z160" s="1359"/>
      <c r="AA160" s="1359"/>
      <c r="AB160" s="1359"/>
      <c r="AC160" s="1359"/>
      <c r="AD160" s="1359"/>
      <c r="AE160" s="1359"/>
      <c r="AF160" s="1359"/>
      <c r="AG160" s="1359"/>
      <c r="AH160" s="1360"/>
      <c r="AI160" s="1360"/>
      <c r="AJ160" s="1360"/>
      <c r="AK160" s="1360"/>
      <c r="AL160" s="1360"/>
      <c r="AM160" s="1360"/>
      <c r="AN160" s="1360"/>
      <c r="AO160" s="1360"/>
      <c r="AP160" s="1360"/>
      <c r="AQ160" s="1360"/>
      <c r="AR160" s="1360"/>
      <c r="AS160" s="1360"/>
      <c r="AT160" s="1360"/>
      <c r="AU160" s="1360"/>
      <c r="AV160" s="1360"/>
      <c r="AW160" s="1360"/>
      <c r="AX160" s="1360"/>
      <c r="AY160" s="1360"/>
      <c r="AZ160" s="1360"/>
      <c r="BA160" s="1360"/>
      <c r="BB160" s="1360"/>
      <c r="BC160" s="1360"/>
      <c r="BD160" s="1360"/>
      <c r="BE160" s="1360"/>
      <c r="BF160" s="1360"/>
      <c r="BG160" s="1360"/>
      <c r="BH160" s="1360"/>
      <c r="BI160" s="1360"/>
      <c r="BJ160" s="1360"/>
      <c r="BK160" s="1360"/>
      <c r="BL160" s="1360"/>
      <c r="BM160" s="1360"/>
      <c r="BN160" s="1360"/>
      <c r="BO160" s="1360"/>
      <c r="BP160" s="1360"/>
      <c r="BQ160" s="1360"/>
      <c r="BR160" s="1360"/>
      <c r="BS160" s="1360"/>
      <c r="BT160" s="1360"/>
      <c r="BU160" s="1360"/>
      <c r="BV160" s="1360"/>
      <c r="BW160" s="1360"/>
      <c r="BX160" s="1360"/>
      <c r="BY160" s="1360"/>
      <c r="BZ160" s="1360"/>
      <c r="CA160" s="1360"/>
      <c r="CB160" s="1360"/>
      <c r="CC160" s="1360"/>
      <c r="CD160" s="1360"/>
      <c r="CE160" s="1360"/>
      <c r="CF160" s="1360"/>
      <c r="CG160" s="1360"/>
      <c r="CH160" s="1360"/>
      <c r="CI160" s="1360"/>
      <c r="CJ160" s="1360"/>
      <c r="CK160" s="1360"/>
      <c r="CL160" s="1360"/>
      <c r="CM160" s="1360"/>
      <c r="CN160" s="1360"/>
      <c r="CO160" s="1360"/>
      <c r="CP160" s="1360"/>
      <c r="CQ160" s="1360"/>
      <c r="CR160" s="1360"/>
      <c r="CS160" s="1360"/>
      <c r="CT160" s="1360"/>
      <c r="CU160" s="1360"/>
      <c r="CV160" s="1360"/>
      <c r="CW160" s="1360"/>
      <c r="CX160" s="1360"/>
      <c r="CY160" s="1360"/>
      <c r="CZ160" s="1360"/>
      <c r="DA160" s="1360"/>
      <c r="DB160" s="1360"/>
      <c r="DC160" s="1360"/>
      <c r="DD160" s="1360"/>
      <c r="DE160" s="1360"/>
      <c r="DF160" s="1360"/>
      <c r="DG160" s="1360"/>
      <c r="DH160" s="1360"/>
      <c r="DI160" s="1360"/>
      <c r="DJ160" s="1360"/>
      <c r="DK160" s="1360"/>
      <c r="DL160" s="1360"/>
      <c r="DM160" s="1360"/>
      <c r="DN160" s="1360"/>
      <c r="DO160" s="1360"/>
      <c r="DP160" s="1360"/>
      <c r="DQ160" s="1360"/>
      <c r="DR160" s="1360"/>
      <c r="DS160" s="1360"/>
      <c r="DT160" s="1360"/>
      <c r="DU160" s="1360"/>
      <c r="DV160" s="1360"/>
      <c r="DW160" s="1360"/>
      <c r="DX160" s="1360"/>
      <c r="DY160" s="1360"/>
      <c r="DZ160" s="1360"/>
      <c r="EA160" s="1360"/>
      <c r="EB160" s="1360"/>
      <c r="EC160" s="1360"/>
      <c r="ED160" s="1360"/>
      <c r="EE160" s="1360"/>
      <c r="EF160" s="1360"/>
      <c r="EG160" s="1360"/>
      <c r="EH160" s="1360"/>
      <c r="EI160" s="1360"/>
      <c r="EJ160" s="1360"/>
      <c r="EK160" s="1360"/>
      <c r="EL160" s="1360"/>
      <c r="EM160" s="1360"/>
      <c r="EN160" s="1360"/>
      <c r="EO160" s="1360"/>
      <c r="EP160" s="1360"/>
      <c r="EQ160" s="1360"/>
      <c r="ER160" s="1360"/>
      <c r="ES160" s="1360"/>
      <c r="ET160" s="1360"/>
      <c r="EU160" s="1360"/>
      <c r="EV160" s="1360"/>
      <c r="EW160" s="1360"/>
      <c r="EX160" s="1360"/>
      <c r="EY160" s="1360"/>
      <c r="EZ160" s="1360"/>
      <c r="FA160" s="1360"/>
      <c r="FB160" s="1360"/>
      <c r="FC160" s="1360"/>
      <c r="FD160" s="1360"/>
      <c r="FE160" s="1360"/>
      <c r="FF160" s="1360"/>
      <c r="FG160" s="1360"/>
      <c r="FH160" s="1360"/>
      <c r="FI160" s="1360"/>
      <c r="FJ160" s="1360"/>
      <c r="FK160" s="1360"/>
      <c r="FL160" s="1360"/>
      <c r="FM160" s="1360"/>
      <c r="FN160" s="1360"/>
      <c r="FO160" s="1360"/>
      <c r="FP160" s="1360"/>
      <c r="FQ160" s="1360"/>
      <c r="FR160" s="1360"/>
      <c r="FS160" s="1360"/>
      <c r="FT160" s="1360"/>
      <c r="FU160" s="1360"/>
      <c r="FV160" s="1360"/>
      <c r="FW160" s="1360"/>
      <c r="FX160" s="1360"/>
      <c r="FY160" s="1360"/>
      <c r="FZ160" s="1360"/>
      <c r="GA160" s="1360"/>
      <c r="GB160" s="1360"/>
      <c r="GC160" s="1360"/>
      <c r="GD160" s="1360"/>
      <c r="GE160" s="1360"/>
      <c r="GF160" s="1360"/>
      <c r="GG160" s="1360"/>
      <c r="GH160" s="1360"/>
      <c r="GI160" s="1360"/>
      <c r="GJ160" s="1360"/>
      <c r="GK160" s="1360"/>
      <c r="GL160" s="1360"/>
      <c r="GM160" s="1360"/>
      <c r="GN160" s="1360"/>
      <c r="GO160" s="1360"/>
      <c r="GP160" s="1360"/>
      <c r="GQ160" s="1360"/>
      <c r="GR160" s="1360"/>
      <c r="GS160" s="1360"/>
      <c r="GT160" s="1360"/>
      <c r="GU160" s="1360"/>
      <c r="GV160" s="1360"/>
      <c r="GW160" s="1360"/>
      <c r="GX160" s="1360"/>
      <c r="GY160" s="1360"/>
      <c r="GZ160" s="1360"/>
      <c r="HA160" s="1360"/>
      <c r="HB160" s="1360"/>
      <c r="HC160" s="1360"/>
      <c r="HD160" s="1360"/>
      <c r="HE160" s="1360"/>
      <c r="HF160" s="1360"/>
      <c r="HG160" s="1360"/>
      <c r="HH160" s="1360"/>
      <c r="HI160" s="1360"/>
      <c r="HJ160" s="1360"/>
      <c r="HK160" s="1360"/>
      <c r="HL160" s="1360"/>
      <c r="HM160" s="1360"/>
      <c r="HN160" s="1360"/>
      <c r="HO160" s="1360"/>
      <c r="HP160" s="1360"/>
      <c r="HQ160" s="1360"/>
      <c r="HR160" s="1360"/>
      <c r="HS160" s="1360"/>
      <c r="HT160" s="1360"/>
      <c r="HU160" s="1360"/>
      <c r="HV160" s="1360"/>
      <c r="HW160" s="1360"/>
      <c r="HX160" s="1360"/>
      <c r="HY160" s="1360"/>
      <c r="HZ160" s="1360"/>
      <c r="IA160" s="1360"/>
      <c r="IB160" s="1360"/>
      <c r="IC160" s="1360"/>
      <c r="ID160" s="1360"/>
      <c r="IE160" s="1360"/>
      <c r="IF160" s="1360"/>
      <c r="IG160" s="1360"/>
      <c r="IH160" s="1360"/>
      <c r="II160" s="1360"/>
      <c r="IJ160" s="1360"/>
      <c r="IK160" s="1360"/>
    </row>
    <row r="161" spans="1:245" s="1361" customFormat="1" ht="66" customHeight="1">
      <c r="A161" s="1432"/>
      <c r="B161" s="1958"/>
      <c r="C161" s="1959">
        <v>2</v>
      </c>
      <c r="D161" s="1362" t="s">
        <v>985</v>
      </c>
      <c r="E161" s="1363">
        <v>952</v>
      </c>
      <c r="F161" s="1364">
        <v>0</v>
      </c>
      <c r="G161" s="1364">
        <v>960000</v>
      </c>
      <c r="H161" s="1364"/>
      <c r="I161" s="1364"/>
      <c r="J161" s="1358"/>
      <c r="K161" s="1359"/>
      <c r="L161" s="1359"/>
      <c r="M161" s="1359"/>
      <c r="N161" s="1359"/>
      <c r="O161" s="1359"/>
      <c r="P161" s="1359"/>
      <c r="Q161" s="1359"/>
      <c r="R161" s="1359"/>
      <c r="S161" s="1359"/>
      <c r="T161" s="1359"/>
      <c r="U161" s="1359"/>
      <c r="V161" s="1359"/>
      <c r="W161" s="1359"/>
      <c r="X161" s="1359"/>
      <c r="Y161" s="1359"/>
      <c r="Z161" s="1359"/>
      <c r="AA161" s="1359"/>
      <c r="AB161" s="1359"/>
      <c r="AC161" s="1359"/>
      <c r="AD161" s="1359"/>
      <c r="AE161" s="1359"/>
      <c r="AF161" s="1359"/>
      <c r="AG161" s="1359"/>
      <c r="AH161" s="1360"/>
      <c r="AI161" s="1360"/>
      <c r="AJ161" s="1360"/>
      <c r="AK161" s="1360"/>
      <c r="AL161" s="1360"/>
      <c r="AM161" s="1360"/>
      <c r="AN161" s="1360"/>
      <c r="AO161" s="1360"/>
      <c r="AP161" s="1360"/>
      <c r="AQ161" s="1360"/>
      <c r="AR161" s="1360"/>
      <c r="AS161" s="1360"/>
      <c r="AT161" s="1360"/>
      <c r="AU161" s="1360"/>
      <c r="AV161" s="1360"/>
      <c r="AW161" s="1360"/>
      <c r="AX161" s="1360"/>
      <c r="AY161" s="1360"/>
      <c r="AZ161" s="1360"/>
      <c r="BA161" s="1360"/>
      <c r="BB161" s="1360"/>
      <c r="BC161" s="1360"/>
      <c r="BD161" s="1360"/>
      <c r="BE161" s="1360"/>
      <c r="BF161" s="1360"/>
      <c r="BG161" s="1360"/>
      <c r="BH161" s="1360"/>
      <c r="BI161" s="1360"/>
      <c r="BJ161" s="1360"/>
      <c r="BK161" s="1360"/>
      <c r="BL161" s="1360"/>
      <c r="BM161" s="1360"/>
      <c r="BN161" s="1360"/>
      <c r="BO161" s="1360"/>
      <c r="BP161" s="1360"/>
      <c r="BQ161" s="1360"/>
      <c r="BR161" s="1360"/>
      <c r="BS161" s="1360"/>
      <c r="BT161" s="1360"/>
      <c r="BU161" s="1360"/>
      <c r="BV161" s="1360"/>
      <c r="BW161" s="1360"/>
      <c r="BX161" s="1360"/>
      <c r="BY161" s="1360"/>
      <c r="BZ161" s="1360"/>
      <c r="CA161" s="1360"/>
      <c r="CB161" s="1360"/>
      <c r="CC161" s="1360"/>
      <c r="CD161" s="1360"/>
      <c r="CE161" s="1360"/>
      <c r="CF161" s="1360"/>
      <c r="CG161" s="1360"/>
      <c r="CH161" s="1360"/>
      <c r="CI161" s="1360"/>
      <c r="CJ161" s="1360"/>
      <c r="CK161" s="1360"/>
      <c r="CL161" s="1360"/>
      <c r="CM161" s="1360"/>
      <c r="CN161" s="1360"/>
      <c r="CO161" s="1360"/>
      <c r="CP161" s="1360"/>
      <c r="CQ161" s="1360"/>
      <c r="CR161" s="1360"/>
      <c r="CS161" s="1360"/>
      <c r="CT161" s="1360"/>
      <c r="CU161" s="1360"/>
      <c r="CV161" s="1360"/>
      <c r="CW161" s="1360"/>
      <c r="CX161" s="1360"/>
      <c r="CY161" s="1360"/>
      <c r="CZ161" s="1360"/>
      <c r="DA161" s="1360"/>
      <c r="DB161" s="1360"/>
      <c r="DC161" s="1360"/>
      <c r="DD161" s="1360"/>
      <c r="DE161" s="1360"/>
      <c r="DF161" s="1360"/>
      <c r="DG161" s="1360"/>
      <c r="DH161" s="1360"/>
      <c r="DI161" s="1360"/>
      <c r="DJ161" s="1360"/>
      <c r="DK161" s="1360"/>
      <c r="DL161" s="1360"/>
      <c r="DM161" s="1360"/>
      <c r="DN161" s="1360"/>
      <c r="DO161" s="1360"/>
      <c r="DP161" s="1360"/>
      <c r="DQ161" s="1360"/>
      <c r="DR161" s="1360"/>
      <c r="DS161" s="1360"/>
      <c r="DT161" s="1360"/>
      <c r="DU161" s="1360"/>
      <c r="DV161" s="1360"/>
      <c r="DW161" s="1360"/>
      <c r="DX161" s="1360"/>
      <c r="DY161" s="1360"/>
      <c r="DZ161" s="1360"/>
      <c r="EA161" s="1360"/>
      <c r="EB161" s="1360"/>
      <c r="EC161" s="1360"/>
      <c r="ED161" s="1360"/>
      <c r="EE161" s="1360"/>
      <c r="EF161" s="1360"/>
      <c r="EG161" s="1360"/>
      <c r="EH161" s="1360"/>
      <c r="EI161" s="1360"/>
      <c r="EJ161" s="1360"/>
      <c r="EK161" s="1360"/>
      <c r="EL161" s="1360"/>
      <c r="EM161" s="1360"/>
      <c r="EN161" s="1360"/>
      <c r="EO161" s="1360"/>
      <c r="EP161" s="1360"/>
      <c r="EQ161" s="1360"/>
      <c r="ER161" s="1360"/>
      <c r="ES161" s="1360"/>
      <c r="ET161" s="1360"/>
      <c r="EU161" s="1360"/>
      <c r="EV161" s="1360"/>
      <c r="EW161" s="1360"/>
      <c r="EX161" s="1360"/>
      <c r="EY161" s="1360"/>
      <c r="EZ161" s="1360"/>
      <c r="FA161" s="1360"/>
      <c r="FB161" s="1360"/>
      <c r="FC161" s="1360"/>
      <c r="FD161" s="1360"/>
      <c r="FE161" s="1360"/>
      <c r="FF161" s="1360"/>
      <c r="FG161" s="1360"/>
      <c r="FH161" s="1360"/>
      <c r="FI161" s="1360"/>
      <c r="FJ161" s="1360"/>
      <c r="FK161" s="1360"/>
      <c r="FL161" s="1360"/>
      <c r="FM161" s="1360"/>
      <c r="FN161" s="1360"/>
      <c r="FO161" s="1360"/>
      <c r="FP161" s="1360"/>
      <c r="FQ161" s="1360"/>
      <c r="FR161" s="1360"/>
      <c r="FS161" s="1360"/>
      <c r="FT161" s="1360"/>
      <c r="FU161" s="1360"/>
      <c r="FV161" s="1360"/>
      <c r="FW161" s="1360"/>
      <c r="FX161" s="1360"/>
      <c r="FY161" s="1360"/>
      <c r="FZ161" s="1360"/>
      <c r="GA161" s="1360"/>
      <c r="GB161" s="1360"/>
      <c r="GC161" s="1360"/>
      <c r="GD161" s="1360"/>
      <c r="GE161" s="1360"/>
      <c r="GF161" s="1360"/>
      <c r="GG161" s="1360"/>
      <c r="GH161" s="1360"/>
      <c r="GI161" s="1360"/>
      <c r="GJ161" s="1360"/>
      <c r="GK161" s="1360"/>
      <c r="GL161" s="1360"/>
      <c r="GM161" s="1360"/>
      <c r="GN161" s="1360"/>
      <c r="GO161" s="1360"/>
      <c r="GP161" s="1360"/>
      <c r="GQ161" s="1360"/>
      <c r="GR161" s="1360"/>
      <c r="GS161" s="1360"/>
      <c r="GT161" s="1360"/>
      <c r="GU161" s="1360"/>
      <c r="GV161" s="1360"/>
      <c r="GW161" s="1360"/>
      <c r="GX161" s="1360"/>
      <c r="GY161" s="1360"/>
      <c r="GZ161" s="1360"/>
      <c r="HA161" s="1360"/>
      <c r="HB161" s="1360"/>
      <c r="HC161" s="1360"/>
      <c r="HD161" s="1360"/>
      <c r="HE161" s="1360"/>
      <c r="HF161" s="1360"/>
      <c r="HG161" s="1360"/>
      <c r="HH161" s="1360"/>
      <c r="HI161" s="1360"/>
      <c r="HJ161" s="1360"/>
      <c r="HK161" s="1360"/>
      <c r="HL161" s="1360"/>
      <c r="HM161" s="1360"/>
      <c r="HN161" s="1360"/>
      <c r="HO161" s="1360"/>
      <c r="HP161" s="1360"/>
      <c r="HQ161" s="1360"/>
      <c r="HR161" s="1360"/>
      <c r="HS161" s="1360"/>
      <c r="HT161" s="1360"/>
      <c r="HU161" s="1360"/>
      <c r="HV161" s="1360"/>
      <c r="HW161" s="1360"/>
      <c r="HX161" s="1360"/>
      <c r="HY161" s="1360"/>
      <c r="HZ161" s="1360"/>
      <c r="IA161" s="1360"/>
      <c r="IB161" s="1360"/>
      <c r="IC161" s="1360"/>
      <c r="ID161" s="1360"/>
      <c r="IE161" s="1360"/>
      <c r="IF161" s="1360"/>
      <c r="IG161" s="1360"/>
      <c r="IH161" s="1360"/>
      <c r="II161" s="1360"/>
      <c r="IJ161" s="1360"/>
      <c r="IK161" s="1360"/>
    </row>
    <row r="162" spans="1:245" s="1361" customFormat="1" ht="45" customHeight="1" thickBot="1">
      <c r="A162" s="1432"/>
      <c r="B162" s="1434"/>
      <c r="C162" s="1365">
        <v>3</v>
      </c>
      <c r="D162" s="1362" t="s">
        <v>637</v>
      </c>
      <c r="E162" s="1363">
        <v>957</v>
      </c>
      <c r="F162" s="1364"/>
      <c r="G162" s="1364">
        <f>24600+603157</f>
        <v>627757</v>
      </c>
      <c r="H162" s="1364"/>
      <c r="I162" s="1364"/>
      <c r="J162" s="1358"/>
      <c r="K162" s="1359"/>
      <c r="L162" s="1359"/>
      <c r="M162" s="1359"/>
      <c r="N162" s="1359"/>
      <c r="O162" s="1359"/>
      <c r="P162" s="1359"/>
      <c r="Q162" s="1359"/>
      <c r="R162" s="1359"/>
      <c r="S162" s="1359"/>
      <c r="T162" s="1359"/>
      <c r="U162" s="1359"/>
      <c r="V162" s="1359"/>
      <c r="W162" s="1359"/>
      <c r="X162" s="1359"/>
      <c r="Y162" s="1359"/>
      <c r="Z162" s="1359"/>
      <c r="AA162" s="1359"/>
      <c r="AB162" s="1359"/>
      <c r="AC162" s="1359"/>
      <c r="AD162" s="1359"/>
      <c r="AE162" s="1359"/>
      <c r="AF162" s="1359"/>
      <c r="AG162" s="1359"/>
      <c r="AH162" s="1360"/>
      <c r="AI162" s="1360"/>
      <c r="AJ162" s="1360"/>
      <c r="AK162" s="1360"/>
      <c r="AL162" s="1360"/>
      <c r="AM162" s="1360"/>
      <c r="AN162" s="1360"/>
      <c r="AO162" s="1360"/>
      <c r="AP162" s="1360"/>
      <c r="AQ162" s="1360"/>
      <c r="AR162" s="1360"/>
      <c r="AS162" s="1360"/>
      <c r="AT162" s="1360"/>
      <c r="AU162" s="1360"/>
      <c r="AV162" s="1360"/>
      <c r="AW162" s="1360"/>
      <c r="AX162" s="1360"/>
      <c r="AY162" s="1360"/>
      <c r="AZ162" s="1360"/>
      <c r="BA162" s="1360"/>
      <c r="BB162" s="1360"/>
      <c r="BC162" s="1360"/>
      <c r="BD162" s="1360"/>
      <c r="BE162" s="1360"/>
      <c r="BF162" s="1360"/>
      <c r="BG162" s="1360"/>
      <c r="BH162" s="1360"/>
      <c r="BI162" s="1360"/>
      <c r="BJ162" s="1360"/>
      <c r="BK162" s="1360"/>
      <c r="BL162" s="1360"/>
      <c r="BM162" s="1360"/>
      <c r="BN162" s="1360"/>
      <c r="BO162" s="1360"/>
      <c r="BP162" s="1360"/>
      <c r="BQ162" s="1360"/>
      <c r="BR162" s="1360"/>
      <c r="BS162" s="1360"/>
      <c r="BT162" s="1360"/>
      <c r="BU162" s="1360"/>
      <c r="BV162" s="1360"/>
      <c r="BW162" s="1360"/>
      <c r="BX162" s="1360"/>
      <c r="BY162" s="1360"/>
      <c r="BZ162" s="1360"/>
      <c r="CA162" s="1360"/>
      <c r="CB162" s="1360"/>
      <c r="CC162" s="1360"/>
      <c r="CD162" s="1360"/>
      <c r="CE162" s="1360"/>
      <c r="CF162" s="1360"/>
      <c r="CG162" s="1360"/>
      <c r="CH162" s="1360"/>
      <c r="CI162" s="1360"/>
      <c r="CJ162" s="1360"/>
      <c r="CK162" s="1360"/>
      <c r="CL162" s="1360"/>
      <c r="CM162" s="1360"/>
      <c r="CN162" s="1360"/>
      <c r="CO162" s="1360"/>
      <c r="CP162" s="1360"/>
      <c r="CQ162" s="1360"/>
      <c r="CR162" s="1360"/>
      <c r="CS162" s="1360"/>
      <c r="CT162" s="1360"/>
      <c r="CU162" s="1360"/>
      <c r="CV162" s="1360"/>
      <c r="CW162" s="1360"/>
      <c r="CX162" s="1360"/>
      <c r="CY162" s="1360"/>
      <c r="CZ162" s="1360"/>
      <c r="DA162" s="1360"/>
      <c r="DB162" s="1360"/>
      <c r="DC162" s="1360"/>
      <c r="DD162" s="1360"/>
      <c r="DE162" s="1360"/>
      <c r="DF162" s="1360"/>
      <c r="DG162" s="1360"/>
      <c r="DH162" s="1360"/>
      <c r="DI162" s="1360"/>
      <c r="DJ162" s="1360"/>
      <c r="DK162" s="1360"/>
      <c r="DL162" s="1360"/>
      <c r="DM162" s="1360"/>
      <c r="DN162" s="1360"/>
      <c r="DO162" s="1360"/>
      <c r="DP162" s="1360"/>
      <c r="DQ162" s="1360"/>
      <c r="DR162" s="1360"/>
      <c r="DS162" s="1360"/>
      <c r="DT162" s="1360"/>
      <c r="DU162" s="1360"/>
      <c r="DV162" s="1360"/>
      <c r="DW162" s="1360"/>
      <c r="DX162" s="1360"/>
      <c r="DY162" s="1360"/>
      <c r="DZ162" s="1360"/>
      <c r="EA162" s="1360"/>
      <c r="EB162" s="1360"/>
      <c r="EC162" s="1360"/>
      <c r="ED162" s="1360"/>
      <c r="EE162" s="1360"/>
      <c r="EF162" s="1360"/>
      <c r="EG162" s="1360"/>
      <c r="EH162" s="1360"/>
      <c r="EI162" s="1360"/>
      <c r="EJ162" s="1360"/>
      <c r="EK162" s="1360"/>
      <c r="EL162" s="1360"/>
      <c r="EM162" s="1360"/>
      <c r="EN162" s="1360"/>
      <c r="EO162" s="1360"/>
      <c r="EP162" s="1360"/>
      <c r="EQ162" s="1360"/>
      <c r="ER162" s="1360"/>
      <c r="ES162" s="1360"/>
      <c r="ET162" s="1360"/>
      <c r="EU162" s="1360"/>
      <c r="EV162" s="1360"/>
      <c r="EW162" s="1360"/>
      <c r="EX162" s="1360"/>
      <c r="EY162" s="1360"/>
      <c r="EZ162" s="1360"/>
      <c r="FA162" s="1360"/>
      <c r="FB162" s="1360"/>
      <c r="FC162" s="1360"/>
      <c r="FD162" s="1360"/>
      <c r="FE162" s="1360"/>
      <c r="FF162" s="1360"/>
      <c r="FG162" s="1360"/>
      <c r="FH162" s="1360"/>
      <c r="FI162" s="1360"/>
      <c r="FJ162" s="1360"/>
      <c r="FK162" s="1360"/>
      <c r="FL162" s="1360"/>
      <c r="FM162" s="1360"/>
      <c r="FN162" s="1360"/>
      <c r="FO162" s="1360"/>
      <c r="FP162" s="1360"/>
      <c r="FQ162" s="1360"/>
      <c r="FR162" s="1360"/>
      <c r="FS162" s="1360"/>
      <c r="FT162" s="1360"/>
      <c r="FU162" s="1360"/>
      <c r="FV162" s="1360"/>
      <c r="FW162" s="1360"/>
      <c r="FX162" s="1360"/>
      <c r="FY162" s="1360"/>
      <c r="FZ162" s="1360"/>
      <c r="GA162" s="1360"/>
      <c r="GB162" s="1360"/>
      <c r="GC162" s="1360"/>
      <c r="GD162" s="1360"/>
      <c r="GE162" s="1360"/>
      <c r="GF162" s="1360"/>
      <c r="GG162" s="1360"/>
      <c r="GH162" s="1360"/>
      <c r="GI162" s="1360"/>
      <c r="GJ162" s="1360"/>
      <c r="GK162" s="1360"/>
      <c r="GL162" s="1360"/>
      <c r="GM162" s="1360"/>
      <c r="GN162" s="1360"/>
      <c r="GO162" s="1360"/>
      <c r="GP162" s="1360"/>
      <c r="GQ162" s="1360"/>
      <c r="GR162" s="1360"/>
      <c r="GS162" s="1360"/>
      <c r="GT162" s="1360"/>
      <c r="GU162" s="1360"/>
      <c r="GV162" s="1360"/>
      <c r="GW162" s="1360"/>
      <c r="GX162" s="1360"/>
      <c r="GY162" s="1360"/>
      <c r="GZ162" s="1360"/>
      <c r="HA162" s="1360"/>
      <c r="HB162" s="1360"/>
      <c r="HC162" s="1360"/>
      <c r="HD162" s="1360"/>
      <c r="HE162" s="1360"/>
      <c r="HF162" s="1360"/>
      <c r="HG162" s="1360"/>
      <c r="HH162" s="1360"/>
      <c r="HI162" s="1360"/>
      <c r="HJ162" s="1360"/>
      <c r="HK162" s="1360"/>
      <c r="HL162" s="1360"/>
      <c r="HM162" s="1360"/>
      <c r="HN162" s="1360"/>
      <c r="HO162" s="1360"/>
      <c r="HP162" s="1360"/>
      <c r="HQ162" s="1360"/>
      <c r="HR162" s="1360"/>
      <c r="HS162" s="1360"/>
      <c r="HT162" s="1360"/>
      <c r="HU162" s="1360"/>
      <c r="HV162" s="1360"/>
      <c r="HW162" s="1360"/>
      <c r="HX162" s="1360"/>
      <c r="HY162" s="1360"/>
      <c r="HZ162" s="1360"/>
      <c r="IA162" s="1360"/>
      <c r="IB162" s="1360"/>
      <c r="IC162" s="1360"/>
      <c r="ID162" s="1360"/>
      <c r="IE162" s="1360"/>
      <c r="IF162" s="1360"/>
      <c r="IG162" s="1360"/>
      <c r="IH162" s="1360"/>
      <c r="II162" s="1360"/>
      <c r="IJ162" s="1360"/>
      <c r="IK162" s="1360"/>
    </row>
    <row r="163" spans="1:9" ht="50.25" customHeight="1" thickBot="1" thickTop="1">
      <c r="A163" s="1435"/>
      <c r="B163" s="1436"/>
      <c r="C163" s="1437"/>
      <c r="D163" s="1438" t="s">
        <v>306</v>
      </c>
      <c r="E163" s="1439"/>
      <c r="F163" s="1440">
        <f>F158+F159</f>
        <v>48301371</v>
      </c>
      <c r="G163" s="1440">
        <f>G158+G159</f>
        <v>51567966</v>
      </c>
      <c r="H163" s="1440">
        <f>H158+H159</f>
        <v>6592665</v>
      </c>
      <c r="I163" s="1441">
        <f>I158+I159</f>
        <v>0</v>
      </c>
    </row>
    <row r="164" spans="1:10" s="1260" customFormat="1" ht="50.25" customHeight="1" thickTop="1">
      <c r="A164" s="1442"/>
      <c r="B164" s="1443"/>
      <c r="C164" s="1444"/>
      <c r="D164" s="1445"/>
      <c r="E164" s="1446"/>
      <c r="F164" s="1447"/>
      <c r="G164" s="1447"/>
      <c r="H164" s="1447"/>
      <c r="I164" s="1448"/>
      <c r="J164" s="1259"/>
    </row>
    <row r="165" spans="1:245" ht="38.25" customHeight="1">
      <c r="A165" s="1449"/>
      <c r="B165" s="1450"/>
      <c r="C165" s="1287"/>
      <c r="D165" s="1367"/>
      <c r="E165" s="1368"/>
      <c r="F165" s="1369"/>
      <c r="G165" s="1369"/>
      <c r="H165" s="1369"/>
      <c r="I165" s="1369"/>
      <c r="J165" s="1370"/>
      <c r="K165" s="1371"/>
      <c r="L165" s="1371"/>
      <c r="M165" s="1371"/>
      <c r="N165" s="1371"/>
      <c r="O165" s="1371"/>
      <c r="P165" s="1371"/>
      <c r="Q165" s="1371"/>
      <c r="R165" s="1371"/>
      <c r="S165" s="1371"/>
      <c r="T165" s="1371"/>
      <c r="U165" s="1371"/>
      <c r="V165" s="1371"/>
      <c r="W165" s="1371"/>
      <c r="X165" s="1371"/>
      <c r="Y165" s="1371"/>
      <c r="Z165" s="1371"/>
      <c r="AA165" s="1371"/>
      <c r="AB165" s="1371"/>
      <c r="AC165" s="1371"/>
      <c r="AD165" s="1371"/>
      <c r="AE165" s="1371"/>
      <c r="AF165" s="1371"/>
      <c r="AG165" s="1371"/>
      <c r="AH165" s="1372"/>
      <c r="AI165" s="1372"/>
      <c r="AJ165" s="1372"/>
      <c r="AK165" s="1372"/>
      <c r="AL165" s="1372"/>
      <c r="AM165" s="1372"/>
      <c r="AN165" s="1372"/>
      <c r="AO165" s="1372"/>
      <c r="AP165" s="1372"/>
      <c r="AQ165" s="1372"/>
      <c r="AR165" s="1372"/>
      <c r="AS165" s="1372"/>
      <c r="AT165" s="1372"/>
      <c r="AU165" s="1372"/>
      <c r="AV165" s="1372"/>
      <c r="AW165" s="1372"/>
      <c r="AX165" s="1372"/>
      <c r="AY165" s="1372"/>
      <c r="AZ165" s="1372"/>
      <c r="BA165" s="1372"/>
      <c r="BB165" s="1372"/>
      <c r="BC165" s="1372"/>
      <c r="BD165" s="1372"/>
      <c r="BE165" s="1372"/>
      <c r="BF165" s="1372"/>
      <c r="BG165" s="1372"/>
      <c r="BH165" s="1372"/>
      <c r="BI165" s="1372"/>
      <c r="BJ165" s="1372"/>
      <c r="BK165" s="1372"/>
      <c r="BL165" s="1372"/>
      <c r="BM165" s="1372"/>
      <c r="BN165" s="1372"/>
      <c r="BO165" s="1372"/>
      <c r="BP165" s="1372"/>
      <c r="BQ165" s="1372"/>
      <c r="BR165" s="1372"/>
      <c r="BS165" s="1372"/>
      <c r="BT165" s="1372"/>
      <c r="BU165" s="1372"/>
      <c r="BV165" s="1372"/>
      <c r="BW165" s="1372"/>
      <c r="BX165" s="1372"/>
      <c r="BY165" s="1372"/>
      <c r="BZ165" s="1372"/>
      <c r="CA165" s="1372"/>
      <c r="CB165" s="1372"/>
      <c r="CC165" s="1372"/>
      <c r="CD165" s="1372"/>
      <c r="CE165" s="1372"/>
      <c r="CF165" s="1372"/>
      <c r="CG165" s="1372"/>
      <c r="CH165" s="1372"/>
      <c r="CI165" s="1372"/>
      <c r="CJ165" s="1372"/>
      <c r="CK165" s="1372"/>
      <c r="CL165" s="1372"/>
      <c r="CM165" s="1372"/>
      <c r="CN165" s="1372"/>
      <c r="CO165" s="1372"/>
      <c r="CP165" s="1372"/>
      <c r="CQ165" s="1372"/>
      <c r="CR165" s="1372"/>
      <c r="CS165" s="1372"/>
      <c r="CT165" s="1372"/>
      <c r="CU165" s="1372"/>
      <c r="CV165" s="1372"/>
      <c r="CW165" s="1372"/>
      <c r="CX165" s="1372"/>
      <c r="CY165" s="1372"/>
      <c r="CZ165" s="1372"/>
      <c r="DA165" s="1372"/>
      <c r="DB165" s="1372"/>
      <c r="DC165" s="1372"/>
      <c r="DD165" s="1372"/>
      <c r="DE165" s="1372"/>
      <c r="DF165" s="1372"/>
      <c r="DG165" s="1372"/>
      <c r="DH165" s="1372"/>
      <c r="DI165" s="1372"/>
      <c r="DJ165" s="1372"/>
      <c r="DK165" s="1372"/>
      <c r="DL165" s="1372"/>
      <c r="DM165" s="1372"/>
      <c r="DN165" s="1372"/>
      <c r="DO165" s="1372"/>
      <c r="DP165" s="1372"/>
      <c r="DQ165" s="1372"/>
      <c r="DR165" s="1372"/>
      <c r="DS165" s="1372"/>
      <c r="DT165" s="1372"/>
      <c r="DU165" s="1372"/>
      <c r="DV165" s="1372"/>
      <c r="DW165" s="1372"/>
      <c r="DX165" s="1372"/>
      <c r="DY165" s="1372"/>
      <c r="DZ165" s="1372"/>
      <c r="EA165" s="1372"/>
      <c r="EB165" s="1372"/>
      <c r="EC165" s="1372"/>
      <c r="ED165" s="1372"/>
      <c r="EE165" s="1372"/>
      <c r="EF165" s="1372"/>
      <c r="EG165" s="1372"/>
      <c r="EH165" s="1372"/>
      <c r="EI165" s="1372"/>
      <c r="EJ165" s="1372"/>
      <c r="EK165" s="1372"/>
      <c r="EL165" s="1372"/>
      <c r="EM165" s="1372"/>
      <c r="EN165" s="1372"/>
      <c r="EO165" s="1372"/>
      <c r="EP165" s="1372"/>
      <c r="EQ165" s="1372"/>
      <c r="ER165" s="1372"/>
      <c r="ES165" s="1372"/>
      <c r="ET165" s="1372"/>
      <c r="EU165" s="1372"/>
      <c r="EV165" s="1372"/>
      <c r="EW165" s="1372"/>
      <c r="EX165" s="1372"/>
      <c r="EY165" s="1372"/>
      <c r="EZ165" s="1372"/>
      <c r="FA165" s="1372"/>
      <c r="FB165" s="1372"/>
      <c r="FC165" s="1372"/>
      <c r="FD165" s="1372"/>
      <c r="FE165" s="1372"/>
      <c r="FF165" s="1372"/>
      <c r="FG165" s="1372"/>
      <c r="FH165" s="1372"/>
      <c r="FI165" s="1372"/>
      <c r="FJ165" s="1372"/>
      <c r="FK165" s="1372"/>
      <c r="FL165" s="1372"/>
      <c r="FM165" s="1372"/>
      <c r="FN165" s="1372"/>
      <c r="FO165" s="1372"/>
      <c r="FP165" s="1372"/>
      <c r="FQ165" s="1372"/>
      <c r="FR165" s="1372"/>
      <c r="FS165" s="1372"/>
      <c r="FT165" s="1372"/>
      <c r="FU165" s="1372"/>
      <c r="FV165" s="1372"/>
      <c r="FW165" s="1372"/>
      <c r="FX165" s="1372"/>
      <c r="FY165" s="1372"/>
      <c r="FZ165" s="1372"/>
      <c r="GA165" s="1372"/>
      <c r="GB165" s="1372"/>
      <c r="GC165" s="1372"/>
      <c r="GD165" s="1372"/>
      <c r="GE165" s="1372"/>
      <c r="GF165" s="1372"/>
      <c r="GG165" s="1372"/>
      <c r="GH165" s="1372"/>
      <c r="GI165" s="1372"/>
      <c r="GJ165" s="1372"/>
      <c r="GK165" s="1372"/>
      <c r="GL165" s="1372"/>
      <c r="GM165" s="1372"/>
      <c r="GN165" s="1372"/>
      <c r="GO165" s="1372"/>
      <c r="GP165" s="1372"/>
      <c r="GQ165" s="1372"/>
      <c r="GR165" s="1372"/>
      <c r="GS165" s="1372"/>
      <c r="GT165" s="1372"/>
      <c r="GU165" s="1372"/>
      <c r="GV165" s="1372"/>
      <c r="GW165" s="1372"/>
      <c r="GX165" s="1372"/>
      <c r="GY165" s="1372"/>
      <c r="GZ165" s="1372"/>
      <c r="HA165" s="1372"/>
      <c r="HB165" s="1372"/>
      <c r="HC165" s="1372"/>
      <c r="HD165" s="1372"/>
      <c r="HE165" s="1372"/>
      <c r="HF165" s="1372"/>
      <c r="HG165" s="1372"/>
      <c r="HH165" s="1372"/>
      <c r="HI165" s="1372"/>
      <c r="HJ165" s="1372"/>
      <c r="HK165" s="1372"/>
      <c r="HL165" s="1372"/>
      <c r="HM165" s="1372"/>
      <c r="HN165" s="1372"/>
      <c r="HO165" s="1372"/>
      <c r="HP165" s="1372"/>
      <c r="HQ165" s="1372"/>
      <c r="HR165" s="1372"/>
      <c r="HS165" s="1372"/>
      <c r="HT165" s="1372"/>
      <c r="HU165" s="1372"/>
      <c r="HV165" s="1372"/>
      <c r="HW165" s="1372"/>
      <c r="HX165" s="1372"/>
      <c r="HY165" s="1372"/>
      <c r="HZ165" s="1372"/>
      <c r="IA165" s="1372"/>
      <c r="IB165" s="1372"/>
      <c r="IC165" s="1372"/>
      <c r="ID165" s="1372"/>
      <c r="IE165" s="1372"/>
      <c r="IF165" s="1372"/>
      <c r="IG165" s="1372"/>
      <c r="IH165" s="1372"/>
      <c r="II165" s="1372"/>
      <c r="IJ165" s="1372"/>
      <c r="IK165" s="1372"/>
    </row>
    <row r="166" spans="1:9" ht="68.25" customHeight="1">
      <c r="A166" s="1451"/>
      <c r="B166" s="1450"/>
      <c r="C166" s="1452"/>
      <c r="D166" s="1453"/>
      <c r="E166" s="1454"/>
      <c r="F166" s="1455" t="s">
        <v>307</v>
      </c>
      <c r="G166" s="1456"/>
      <c r="H166" s="1456"/>
      <c r="I166" s="1457"/>
    </row>
    <row r="167" spans="1:9" ht="68.25" customHeight="1">
      <c r="A167" s="1458" t="s">
        <v>1190</v>
      </c>
      <c r="B167" s="1459" t="s">
        <v>1191</v>
      </c>
      <c r="C167" s="1401"/>
      <c r="D167" s="1460" t="s">
        <v>1192</v>
      </c>
      <c r="E167" s="1461" t="s">
        <v>171</v>
      </c>
      <c r="F167" s="1402" t="s">
        <v>308</v>
      </c>
      <c r="G167" s="1403" t="s">
        <v>173</v>
      </c>
      <c r="H167" s="1404" t="s">
        <v>706</v>
      </c>
      <c r="I167" s="1404"/>
    </row>
    <row r="168" spans="1:9" ht="68.25" customHeight="1">
      <c r="A168" s="1462"/>
      <c r="B168" s="1405"/>
      <c r="C168" s="1406"/>
      <c r="D168" s="1463"/>
      <c r="E168" s="1464"/>
      <c r="F168" s="1465" t="s">
        <v>309</v>
      </c>
      <c r="G168" s="1466" t="s">
        <v>310</v>
      </c>
      <c r="H168" s="1409" t="s">
        <v>177</v>
      </c>
      <c r="I168" s="1409" t="s">
        <v>178</v>
      </c>
    </row>
    <row r="169" spans="1:33" s="1376" customFormat="1" ht="36" customHeight="1">
      <c r="A169" s="1467">
        <f>A3</f>
        <v>1</v>
      </c>
      <c r="B169" s="1467">
        <f>B3</f>
        <v>600</v>
      </c>
      <c r="C169" s="1468"/>
      <c r="D169" s="1469" t="str">
        <f>D3</f>
        <v>TRANSPORT I ŁĄCZNOŚĆ</v>
      </c>
      <c r="E169" s="1470"/>
      <c r="F169" s="1471">
        <f>F3</f>
        <v>2111364</v>
      </c>
      <c r="G169" s="1467">
        <f>G3</f>
        <v>629621</v>
      </c>
      <c r="H169" s="1467">
        <f>H3</f>
        <v>0</v>
      </c>
      <c r="I169" s="1467">
        <f>I3</f>
        <v>0</v>
      </c>
      <c r="J169" s="1374"/>
      <c r="K169" s="1375"/>
      <c r="L169" s="1375"/>
      <c r="M169" s="1375"/>
      <c r="N169" s="1375"/>
      <c r="O169" s="1375"/>
      <c r="P169" s="1375"/>
      <c r="Q169" s="1375"/>
      <c r="R169" s="1375"/>
      <c r="S169" s="1375"/>
      <c r="T169" s="1375"/>
      <c r="U169" s="1375"/>
      <c r="V169" s="1375"/>
      <c r="W169" s="1375"/>
      <c r="X169" s="1375"/>
      <c r="Y169" s="1375"/>
      <c r="Z169" s="1375"/>
      <c r="AA169" s="1375"/>
      <c r="AB169" s="1375"/>
      <c r="AC169" s="1375"/>
      <c r="AD169" s="1375"/>
      <c r="AE169" s="1375"/>
      <c r="AF169" s="1375"/>
      <c r="AG169" s="1375"/>
    </row>
    <row r="170" spans="1:10" s="1268" customFormat="1" ht="36" customHeight="1">
      <c r="A170" s="1472">
        <f>A7</f>
        <v>2</v>
      </c>
      <c r="B170" s="1472">
        <f>B7</f>
        <v>700</v>
      </c>
      <c r="C170" s="1473"/>
      <c r="D170" s="1474" t="str">
        <f>D7</f>
        <v>GOSPODARKA MIESZKANIOWA</v>
      </c>
      <c r="E170" s="1475"/>
      <c r="F170" s="1476">
        <f>F7</f>
        <v>457531</v>
      </c>
      <c r="G170" s="1472">
        <f>G7</f>
        <v>753923</v>
      </c>
      <c r="H170" s="1472">
        <f>H7</f>
        <v>0</v>
      </c>
      <c r="I170" s="1472">
        <f>I7</f>
        <v>0</v>
      </c>
      <c r="J170" s="1267"/>
    </row>
    <row r="171" spans="1:33" s="1377" customFormat="1" ht="36" customHeight="1">
      <c r="A171" s="1477">
        <f>A22</f>
        <v>3</v>
      </c>
      <c r="B171" s="1477">
        <f>B22</f>
        <v>750</v>
      </c>
      <c r="C171" s="1468"/>
      <c r="D171" s="1478" t="str">
        <f>D22</f>
        <v>ADMINISTRACJA PUBLICZNA</v>
      </c>
      <c r="E171" s="1479"/>
      <c r="F171" s="1480">
        <f>F22</f>
        <v>174535</v>
      </c>
      <c r="G171" s="1477">
        <f>G22</f>
        <v>176203</v>
      </c>
      <c r="H171" s="1477">
        <f>H22</f>
        <v>165665</v>
      </c>
      <c r="I171" s="1477">
        <v>0</v>
      </c>
      <c r="J171" s="1267"/>
      <c r="K171" s="1268"/>
      <c r="L171" s="1268"/>
      <c r="M171" s="1268"/>
      <c r="N171" s="1268"/>
      <c r="O171" s="1268"/>
      <c r="P171" s="1268"/>
      <c r="Q171" s="1268"/>
      <c r="R171" s="1268"/>
      <c r="S171" s="1268"/>
      <c r="T171" s="1268"/>
      <c r="U171" s="1268"/>
      <c r="V171" s="1268"/>
      <c r="W171" s="1268"/>
      <c r="X171" s="1268"/>
      <c r="Y171" s="1268"/>
      <c r="Z171" s="1268"/>
      <c r="AA171" s="1268"/>
      <c r="AB171" s="1268"/>
      <c r="AC171" s="1268"/>
      <c r="AD171" s="1268"/>
      <c r="AE171" s="1268"/>
      <c r="AF171" s="1268"/>
      <c r="AG171" s="1268"/>
    </row>
    <row r="172" spans="1:10" s="1268" customFormat="1" ht="90.75" customHeight="1">
      <c r="A172" s="1481">
        <f>A30</f>
        <v>4</v>
      </c>
      <c r="B172" s="1482">
        <f>B30</f>
        <v>751</v>
      </c>
      <c r="C172" s="1483"/>
      <c r="D172" s="1484" t="str">
        <f>D30</f>
        <v>URZĘDY NACZELNYCH ORGANÓW WŁADZY PAŃSTWOWEJ, KONTROLI I OCHRONY PRAWA ORAZ SĄDOWNICTWA</v>
      </c>
      <c r="E172" s="1485"/>
      <c r="F172" s="1481">
        <f>F30</f>
        <v>2800</v>
      </c>
      <c r="G172" s="1481">
        <f>G30</f>
        <v>2800</v>
      </c>
      <c r="H172" s="1481">
        <f>H30</f>
        <v>2800</v>
      </c>
      <c r="I172" s="1481">
        <v>0</v>
      </c>
      <c r="J172" s="1267"/>
    </row>
    <row r="173" spans="1:33" s="1376" customFormat="1" ht="50.25" customHeight="1">
      <c r="A173" s="1467">
        <f>A34</f>
        <v>5</v>
      </c>
      <c r="B173" s="1467">
        <f>B34</f>
        <v>754</v>
      </c>
      <c r="C173" s="1468"/>
      <c r="D173" s="1469" t="str">
        <f>D34</f>
        <v>BEZPIECZEŃSTWO PUBLICZNE I OCHRONA PRZECIWPOŻAROWA</v>
      </c>
      <c r="E173" s="1470"/>
      <c r="F173" s="1471">
        <f>F34</f>
        <v>200</v>
      </c>
      <c r="G173" s="1467">
        <f>G34</f>
        <v>200</v>
      </c>
      <c r="H173" s="1467">
        <f>H34</f>
        <v>200</v>
      </c>
      <c r="I173" s="1467">
        <f>I34</f>
        <v>0</v>
      </c>
      <c r="J173" s="1374"/>
      <c r="K173" s="1375"/>
      <c r="L173" s="1375"/>
      <c r="M173" s="1375"/>
      <c r="N173" s="1375"/>
      <c r="O173" s="1375"/>
      <c r="P173" s="1375"/>
      <c r="Q173" s="1375"/>
      <c r="R173" s="1375"/>
      <c r="S173" s="1375"/>
      <c r="T173" s="1375"/>
      <c r="U173" s="1375"/>
      <c r="V173" s="1375"/>
      <c r="W173" s="1375"/>
      <c r="X173" s="1375"/>
      <c r="Y173" s="1375"/>
      <c r="Z173" s="1375"/>
      <c r="AA173" s="1375"/>
      <c r="AB173" s="1375"/>
      <c r="AC173" s="1375"/>
      <c r="AD173" s="1375"/>
      <c r="AE173" s="1375"/>
      <c r="AF173" s="1375"/>
      <c r="AG173" s="1375"/>
    </row>
    <row r="174" spans="1:10" s="1268" customFormat="1" ht="96" customHeight="1">
      <c r="A174" s="1472">
        <f>A38</f>
        <v>6</v>
      </c>
      <c r="B174" s="1472">
        <f>B38</f>
        <v>756</v>
      </c>
      <c r="C174" s="1473"/>
      <c r="D174" s="1486" t="str">
        <f>D38</f>
        <v>DOCHODY OD OSÓB PRAWNYCH,OD OSÓB FIZYCZNYCH I OD INNYCH JEDNOSTEK NIEPOSIADAJĄCYCH OSOBOWOŚCI PRAWNEJ ORAZ WYDATKI ZWIĄZANE Z ICH POBOREM</v>
      </c>
      <c r="E174" s="1475"/>
      <c r="F174" s="1476">
        <f>F38</f>
        <v>15997220</v>
      </c>
      <c r="G174" s="1472">
        <f>G38</f>
        <v>18967658</v>
      </c>
      <c r="H174" s="1472">
        <f>H38</f>
        <v>0</v>
      </c>
      <c r="I174" s="1472">
        <v>0</v>
      </c>
      <c r="J174" s="1267"/>
    </row>
    <row r="175" spans="1:33" s="1376" customFormat="1" ht="36" customHeight="1">
      <c r="A175" s="1467">
        <f>A67</f>
        <v>7</v>
      </c>
      <c r="B175" s="1467">
        <f>B67</f>
        <v>758</v>
      </c>
      <c r="C175" s="1468"/>
      <c r="D175" s="1469" t="str">
        <f>D67</f>
        <v>RÓŻNE ROZLICZENIA</v>
      </c>
      <c r="E175" s="1470"/>
      <c r="F175" s="1471">
        <f>F67</f>
        <v>16993755</v>
      </c>
      <c r="G175" s="1467">
        <f>G67</f>
        <v>17629462</v>
      </c>
      <c r="H175" s="1467">
        <f>H67</f>
        <v>0</v>
      </c>
      <c r="I175" s="1467">
        <v>0</v>
      </c>
      <c r="J175" s="1374"/>
      <c r="K175" s="1375"/>
      <c r="L175" s="1375"/>
      <c r="M175" s="1375"/>
      <c r="N175" s="1375"/>
      <c r="O175" s="1375"/>
      <c r="P175" s="1375"/>
      <c r="Q175" s="1375"/>
      <c r="R175" s="1375"/>
      <c r="S175" s="1375"/>
      <c r="T175" s="1375"/>
      <c r="U175" s="1375"/>
      <c r="V175" s="1375"/>
      <c r="W175" s="1375"/>
      <c r="X175" s="1375"/>
      <c r="Y175" s="1375"/>
      <c r="Z175" s="1375"/>
      <c r="AA175" s="1375"/>
      <c r="AB175" s="1375"/>
      <c r="AC175" s="1375"/>
      <c r="AD175" s="1375"/>
      <c r="AE175" s="1375"/>
      <c r="AF175" s="1375"/>
      <c r="AG175" s="1375"/>
    </row>
    <row r="176" spans="1:10" s="1268" customFormat="1" ht="36" customHeight="1">
      <c r="A176" s="1472">
        <f>A79</f>
        <v>8</v>
      </c>
      <c r="B176" s="1472">
        <f>B79</f>
        <v>801</v>
      </c>
      <c r="C176" s="1473"/>
      <c r="D176" s="1486" t="str">
        <f>D79</f>
        <v>OŚWIATA I WYCHOWANIE</v>
      </c>
      <c r="E176" s="1475"/>
      <c r="F176" s="1476">
        <f>F79</f>
        <v>167757</v>
      </c>
      <c r="G176" s="1472">
        <f>G79</f>
        <v>165513</v>
      </c>
      <c r="H176" s="1472">
        <f>H79</f>
        <v>0</v>
      </c>
      <c r="I176" s="1472">
        <f>I79</f>
        <v>0</v>
      </c>
      <c r="J176" s="1267"/>
    </row>
    <row r="177" spans="1:10" s="1375" customFormat="1" ht="36" customHeight="1">
      <c r="A177" s="1467">
        <f>A122</f>
        <v>9</v>
      </c>
      <c r="B177" s="1467">
        <f>B122</f>
        <v>852</v>
      </c>
      <c r="C177" s="1468"/>
      <c r="D177" s="1469" t="str">
        <f>D122</f>
        <v>POMOC SPOŁECZNA</v>
      </c>
      <c r="E177" s="1470"/>
      <c r="F177" s="1471">
        <f>F122</f>
        <v>6478528</v>
      </c>
      <c r="G177" s="1467">
        <f>G122</f>
        <v>7076550</v>
      </c>
      <c r="H177" s="1467">
        <f>H122</f>
        <v>6424000</v>
      </c>
      <c r="I177" s="1467">
        <v>0</v>
      </c>
      <c r="J177" s="1374"/>
    </row>
    <row r="178" spans="1:33" s="1376" customFormat="1" ht="36" customHeight="1">
      <c r="A178" s="1487">
        <f>A144</f>
        <v>10</v>
      </c>
      <c r="B178" s="1487">
        <f>B144</f>
        <v>854</v>
      </c>
      <c r="C178" s="1473"/>
      <c r="D178" s="1488" t="str">
        <f>D144</f>
        <v>EDUKACYJNA OPIEKA WYCHOWAWCZA</v>
      </c>
      <c r="E178" s="1489"/>
      <c r="F178" s="1487">
        <f>F144</f>
        <v>317681</v>
      </c>
      <c r="G178" s="1487">
        <f>G144</f>
        <v>338049</v>
      </c>
      <c r="H178" s="1487">
        <f>H144</f>
        <v>0</v>
      </c>
      <c r="I178" s="1487">
        <f>I144</f>
        <v>0</v>
      </c>
      <c r="J178" s="1374"/>
      <c r="K178" s="1375"/>
      <c r="L178" s="1375"/>
      <c r="M178" s="1375"/>
      <c r="N178" s="1375"/>
      <c r="O178" s="1375"/>
      <c r="P178" s="1375"/>
      <c r="Q178" s="1375"/>
      <c r="R178" s="1375"/>
      <c r="S178" s="1375"/>
      <c r="T178" s="1375"/>
      <c r="U178" s="1375"/>
      <c r="V178" s="1375"/>
      <c r="W178" s="1375"/>
      <c r="X178" s="1375"/>
      <c r="Y178" s="1375"/>
      <c r="Z178" s="1375"/>
      <c r="AA178" s="1375"/>
      <c r="AB178" s="1375"/>
      <c r="AC178" s="1375"/>
      <c r="AD178" s="1375"/>
      <c r="AE178" s="1375"/>
      <c r="AF178" s="1375"/>
      <c r="AG178" s="1375"/>
    </row>
    <row r="179" spans="1:10" s="1375" customFormat="1" ht="53.25" customHeight="1" thickBot="1">
      <c r="A179" s="1467">
        <v>11</v>
      </c>
      <c r="B179" s="1467">
        <v>921</v>
      </c>
      <c r="C179" s="1468"/>
      <c r="D179" s="1469" t="str">
        <f>D155</f>
        <v>KULTURA I OCHRONA DZIEDZICTWA NARODOWEGO</v>
      </c>
      <c r="E179" s="1470"/>
      <c r="F179" s="1471">
        <f>F155</f>
        <v>0</v>
      </c>
      <c r="G179" s="1467">
        <f>G155</f>
        <v>240230</v>
      </c>
      <c r="H179" s="1467">
        <f>H155</f>
        <v>0</v>
      </c>
      <c r="I179" s="1467">
        <f>I155</f>
        <v>0</v>
      </c>
      <c r="J179" s="1374"/>
    </row>
    <row r="180" spans="1:33" s="1380" customFormat="1" ht="56.25" customHeight="1" thickBot="1" thickTop="1">
      <c r="A180" s="1490"/>
      <c r="B180" s="1491"/>
      <c r="C180" s="1492"/>
      <c r="D180" s="1493" t="s">
        <v>303</v>
      </c>
      <c r="E180" s="1494"/>
      <c r="F180" s="1495">
        <f>SUM(F169:F179)</f>
        <v>42701371</v>
      </c>
      <c r="G180" s="1495">
        <f>SUM(G169:G179)</f>
        <v>45980209</v>
      </c>
      <c r="H180" s="1495">
        <f>SUM(H169:H179)</f>
        <v>6592665</v>
      </c>
      <c r="I180" s="1495">
        <f>SUM(I169:I178)</f>
        <v>0</v>
      </c>
      <c r="J180" s="1378"/>
      <c r="K180" s="1379"/>
      <c r="L180" s="1379"/>
      <c r="M180" s="1379"/>
      <c r="N180" s="1379"/>
      <c r="O180" s="1379"/>
      <c r="P180" s="1379"/>
      <c r="Q180" s="1379"/>
      <c r="R180" s="1379"/>
      <c r="S180" s="1379"/>
      <c r="T180" s="1379"/>
      <c r="U180" s="1379"/>
      <c r="V180" s="1379"/>
      <c r="W180" s="1379"/>
      <c r="X180" s="1379"/>
      <c r="Y180" s="1379"/>
      <c r="Z180" s="1379"/>
      <c r="AA180" s="1379"/>
      <c r="AB180" s="1379"/>
      <c r="AC180" s="1379"/>
      <c r="AD180" s="1379"/>
      <c r="AE180" s="1379"/>
      <c r="AF180" s="1379"/>
      <c r="AG180" s="1379"/>
    </row>
    <row r="181" spans="1:10" s="1382" customFormat="1" ht="42.75" customHeight="1" thickBot="1" thickTop="1">
      <c r="A181" s="1496"/>
      <c r="B181" s="1427"/>
      <c r="C181" s="1497"/>
      <c r="D181" s="1429" t="str">
        <f>D159</f>
        <v>P R Z Y C H O D Y</v>
      </c>
      <c r="E181" s="1430"/>
      <c r="F181" s="1498">
        <f>F159</f>
        <v>5600000</v>
      </c>
      <c r="G181" s="1498">
        <f>G159</f>
        <v>5587757</v>
      </c>
      <c r="H181" s="1498">
        <f>H159</f>
        <v>0</v>
      </c>
      <c r="I181" s="1498">
        <f>I159</f>
        <v>0</v>
      </c>
      <c r="J181" s="1381"/>
    </row>
    <row r="182" spans="1:9" ht="50.25" customHeight="1" thickBot="1" thickTop="1">
      <c r="A182" s="1499"/>
      <c r="B182" s="1500"/>
      <c r="C182" s="1501"/>
      <c r="D182" s="1438" t="str">
        <f>D163</f>
        <v>O G Ó Ł E M      B U D Ż E T</v>
      </c>
      <c r="E182" s="1439"/>
      <c r="F182" s="1440">
        <f>F180+F181</f>
        <v>48301371</v>
      </c>
      <c r="G182" s="1440">
        <f>G180+G181</f>
        <v>51567966</v>
      </c>
      <c r="H182" s="1440">
        <f>H180+H181</f>
        <v>6592665</v>
      </c>
      <c r="I182" s="1441">
        <f>I163</f>
        <v>0</v>
      </c>
    </row>
    <row r="183" spans="1:9" ht="15.75" thickTop="1">
      <c r="A183" s="1383"/>
      <c r="B183" s="1384"/>
      <c r="C183" s="1373"/>
      <c r="D183" s="1384"/>
      <c r="E183" s="1385"/>
      <c r="F183" s="1386"/>
      <c r="G183" s="1386"/>
      <c r="H183" s="1387"/>
      <c r="I183" s="1387"/>
    </row>
    <row r="184" spans="1:9" ht="15">
      <c r="A184" s="1366"/>
      <c r="B184" s="1388"/>
      <c r="C184" s="1373"/>
      <c r="D184" s="1389"/>
      <c r="E184" s="1390"/>
      <c r="F184" s="1386"/>
      <c r="G184" s="1386"/>
      <c r="H184" s="1387"/>
      <c r="I184" s="1387"/>
    </row>
    <row r="185" spans="1:9" ht="15">
      <c r="A185" s="1366"/>
      <c r="B185" s="1388"/>
      <c r="C185" s="1373"/>
      <c r="D185" s="1389"/>
      <c r="E185" s="1390"/>
      <c r="F185" s="1386"/>
      <c r="G185" s="1386"/>
      <c r="H185" s="1387"/>
      <c r="I185" s="1387"/>
    </row>
    <row r="186" spans="1:9" ht="15">
      <c r="A186" s="1366"/>
      <c r="B186" s="1388"/>
      <c r="C186" s="1373"/>
      <c r="D186" s="1389"/>
      <c r="E186" s="1390"/>
      <c r="F186" s="1386"/>
      <c r="G186" s="1386"/>
      <c r="H186" s="1387"/>
      <c r="I186" s="1387"/>
    </row>
    <row r="187" spans="1:9" ht="15">
      <c r="A187" s="1366"/>
      <c r="B187" s="1388"/>
      <c r="C187" s="1373"/>
      <c r="D187" s="1389"/>
      <c r="E187" s="1390"/>
      <c r="F187" s="1386"/>
      <c r="G187" s="1386"/>
      <c r="H187" s="1387"/>
      <c r="I187" s="1387"/>
    </row>
    <row r="188" spans="1:9" ht="15">
      <c r="A188" s="1366"/>
      <c r="B188" s="1388"/>
      <c r="C188" s="1373"/>
      <c r="D188" s="1389"/>
      <c r="E188" s="1390"/>
      <c r="F188" s="1386"/>
      <c r="G188" s="1386"/>
      <c r="H188" s="1387"/>
      <c r="I188" s="1387"/>
    </row>
    <row r="189" spans="1:9" ht="15">
      <c r="A189" s="1366"/>
      <c r="B189" s="1388"/>
      <c r="C189" s="1373"/>
      <c r="D189" s="1389"/>
      <c r="E189" s="1390"/>
      <c r="F189" s="1386"/>
      <c r="G189" s="1386"/>
      <c r="H189" s="1387"/>
      <c r="I189" s="1387"/>
    </row>
    <row r="190" spans="1:9" ht="15">
      <c r="A190" s="1366"/>
      <c r="B190" s="1388"/>
      <c r="C190" s="1373"/>
      <c r="D190" s="1389"/>
      <c r="E190" s="1390"/>
      <c r="F190" s="1391"/>
      <c r="G190" s="1391"/>
      <c r="H190" s="1392"/>
      <c r="I190" s="1392"/>
    </row>
    <row r="191" spans="1:9" ht="15">
      <c r="A191" s="1366"/>
      <c r="B191" s="1388"/>
      <c r="C191" s="1373"/>
      <c r="D191" s="1389"/>
      <c r="E191" s="1390"/>
      <c r="F191" s="1391"/>
      <c r="G191" s="1391"/>
      <c r="H191" s="1392"/>
      <c r="I191" s="1392"/>
    </row>
    <row r="192" spans="1:9" ht="15">
      <c r="A192" s="1366"/>
      <c r="B192" s="1388"/>
      <c r="C192" s="1373"/>
      <c r="D192" s="1389"/>
      <c r="E192" s="1390"/>
      <c r="F192" s="1391"/>
      <c r="G192" s="1391"/>
      <c r="H192" s="1392"/>
      <c r="I192" s="1392"/>
    </row>
    <row r="193" spans="1:9" ht="15">
      <c r="A193" s="1366"/>
      <c r="B193" s="1388"/>
      <c r="C193" s="1373"/>
      <c r="D193" s="1389"/>
      <c r="E193" s="1390"/>
      <c r="F193" s="1391"/>
      <c r="G193" s="1391"/>
      <c r="H193" s="1392"/>
      <c r="I193" s="1392"/>
    </row>
    <row r="194" spans="1:9" ht="15">
      <c r="A194" s="1366"/>
      <c r="B194" s="1388"/>
      <c r="C194" s="1373"/>
      <c r="D194" s="1389"/>
      <c r="E194" s="1390"/>
      <c r="F194" s="1391"/>
      <c r="G194" s="1391"/>
      <c r="H194" s="1392"/>
      <c r="I194" s="1392"/>
    </row>
    <row r="195" spans="1:9" ht="15">
      <c r="A195" s="1366"/>
      <c r="B195" s="1388"/>
      <c r="C195" s="1373"/>
      <c r="D195" s="1389"/>
      <c r="E195" s="1390"/>
      <c r="F195" s="1391"/>
      <c r="G195" s="1391"/>
      <c r="H195" s="1392"/>
      <c r="I195" s="1392"/>
    </row>
    <row r="196" spans="1:9" ht="15">
      <c r="A196" s="1366"/>
      <c r="B196" s="1388"/>
      <c r="C196" s="1373"/>
      <c r="D196" s="1389"/>
      <c r="E196" s="1390"/>
      <c r="F196" s="1391"/>
      <c r="G196" s="1391"/>
      <c r="H196" s="1392"/>
      <c r="I196" s="1392"/>
    </row>
    <row r="197" spans="1:9" ht="15">
      <c r="A197" s="1366"/>
      <c r="B197" s="1388"/>
      <c r="C197" s="1373"/>
      <c r="D197" s="1389"/>
      <c r="E197" s="1390"/>
      <c r="F197" s="1391"/>
      <c r="G197" s="1391"/>
      <c r="H197" s="1392"/>
      <c r="I197" s="1392"/>
    </row>
    <row r="198" spans="1:9" ht="15">
      <c r="A198" s="1366"/>
      <c r="B198" s="1388"/>
      <c r="C198" s="1373"/>
      <c r="D198" s="1389"/>
      <c r="E198" s="1390"/>
      <c r="F198" s="1391"/>
      <c r="G198" s="1391"/>
      <c r="H198" s="1392"/>
      <c r="I198" s="1392"/>
    </row>
    <row r="199" spans="1:9" ht="15">
      <c r="A199" s="1366"/>
      <c r="B199" s="1388"/>
      <c r="C199" s="1373"/>
      <c r="D199" s="1389"/>
      <c r="E199" s="1390"/>
      <c r="F199" s="1391"/>
      <c r="G199" s="1391"/>
      <c r="H199" s="1392"/>
      <c r="I199" s="1392"/>
    </row>
    <row r="200" spans="1:9" ht="15">
      <c r="A200" s="1366"/>
      <c r="B200" s="1388"/>
      <c r="C200" s="1373"/>
      <c r="D200" s="1389"/>
      <c r="E200" s="1390"/>
      <c r="F200" s="1391"/>
      <c r="G200" s="1391"/>
      <c r="H200" s="1392"/>
      <c r="I200" s="1392"/>
    </row>
    <row r="201" spans="1:9" ht="15">
      <c r="A201" s="1366"/>
      <c r="B201" s="1388"/>
      <c r="C201" s="1373"/>
      <c r="D201" s="1389"/>
      <c r="E201" s="1390"/>
      <c r="F201" s="1391"/>
      <c r="G201" s="1391"/>
      <c r="H201" s="1392"/>
      <c r="I201" s="1392"/>
    </row>
    <row r="202" spans="1:9" ht="15">
      <c r="A202" s="1366"/>
      <c r="B202" s="1388"/>
      <c r="C202" s="1373"/>
      <c r="D202" s="1389"/>
      <c r="E202" s="1390"/>
      <c r="F202" s="1391"/>
      <c r="G202" s="1391"/>
      <c r="H202" s="1392"/>
      <c r="I202" s="1392"/>
    </row>
    <row r="203" spans="1:9" ht="15">
      <c r="A203" s="1366"/>
      <c r="B203" s="1388"/>
      <c r="C203" s="1373"/>
      <c r="D203" s="1389"/>
      <c r="E203" s="1390"/>
      <c r="F203" s="1391"/>
      <c r="G203" s="1391"/>
      <c r="H203" s="1392"/>
      <c r="I203" s="1392"/>
    </row>
    <row r="204" spans="1:9" ht="15">
      <c r="A204" s="1366"/>
      <c r="B204" s="1388"/>
      <c r="C204" s="1373"/>
      <c r="D204" s="1389"/>
      <c r="E204" s="1390"/>
      <c r="F204" s="1391"/>
      <c r="G204" s="1391"/>
      <c r="H204" s="1392"/>
      <c r="I204" s="1392"/>
    </row>
    <row r="205" spans="1:9" ht="15">
      <c r="A205" s="1366"/>
      <c r="B205" s="1388"/>
      <c r="C205" s="1373"/>
      <c r="D205" s="1389"/>
      <c r="E205" s="1390"/>
      <c r="F205" s="1391"/>
      <c r="G205" s="1391"/>
      <c r="H205" s="1392"/>
      <c r="I205" s="1392"/>
    </row>
    <row r="206" spans="1:9" ht="15">
      <c r="A206" s="1366"/>
      <c r="B206" s="1388"/>
      <c r="C206" s="1373"/>
      <c r="D206" s="1389"/>
      <c r="E206" s="1390"/>
      <c r="F206" s="1391"/>
      <c r="G206" s="1391"/>
      <c r="H206" s="1392"/>
      <c r="I206" s="1392"/>
    </row>
    <row r="207" spans="1:9" ht="15">
      <c r="A207" s="1366"/>
      <c r="B207" s="1388"/>
      <c r="C207" s="1373"/>
      <c r="D207" s="1389"/>
      <c r="E207" s="1390"/>
      <c r="F207" s="1391"/>
      <c r="G207" s="1391"/>
      <c r="H207" s="1392"/>
      <c r="I207" s="1392"/>
    </row>
    <row r="208" spans="1:9" ht="15">
      <c r="A208" s="1366"/>
      <c r="B208" s="1388"/>
      <c r="C208" s="1373"/>
      <c r="D208" s="1389"/>
      <c r="E208" s="1390"/>
      <c r="F208" s="1391"/>
      <c r="G208" s="1391"/>
      <c r="H208" s="1392"/>
      <c r="I208" s="1392"/>
    </row>
    <row r="209" spans="1:9" ht="15">
      <c r="A209" s="1366"/>
      <c r="B209" s="1388"/>
      <c r="C209" s="1373"/>
      <c r="D209" s="1389"/>
      <c r="E209" s="1390"/>
      <c r="F209" s="1391"/>
      <c r="G209" s="1391"/>
      <c r="H209" s="1392"/>
      <c r="I209" s="1392"/>
    </row>
    <row r="210" spans="1:9" ht="15">
      <c r="A210" s="1366"/>
      <c r="B210" s="1388"/>
      <c r="C210" s="1373"/>
      <c r="D210" s="1389"/>
      <c r="E210" s="1390"/>
      <c r="F210" s="1391"/>
      <c r="G210" s="1391"/>
      <c r="H210" s="1392"/>
      <c r="I210" s="1392"/>
    </row>
    <row r="211" spans="1:9" ht="15">
      <c r="A211" s="1366"/>
      <c r="B211" s="1388"/>
      <c r="C211" s="1373"/>
      <c r="D211" s="1389"/>
      <c r="E211" s="1390"/>
      <c r="F211" s="1391"/>
      <c r="G211" s="1391"/>
      <c r="H211" s="1392"/>
      <c r="I211" s="1392"/>
    </row>
    <row r="212" spans="1:9" ht="15">
      <c r="A212" s="1366"/>
      <c r="B212" s="1388"/>
      <c r="C212" s="1373"/>
      <c r="D212" s="1389"/>
      <c r="E212" s="1390"/>
      <c r="F212" s="1391"/>
      <c r="G212" s="1391"/>
      <c r="H212" s="1392"/>
      <c r="I212" s="1392"/>
    </row>
    <row r="213" spans="1:9" ht="15">
      <c r="A213" s="1366"/>
      <c r="B213" s="1388"/>
      <c r="C213" s="1373"/>
      <c r="D213" s="1389"/>
      <c r="E213" s="1390"/>
      <c r="F213" s="1391"/>
      <c r="G213" s="1391"/>
      <c r="H213" s="1392"/>
      <c r="I213" s="1392"/>
    </row>
    <row r="214" spans="1:9" ht="15">
      <c r="A214" s="1366"/>
      <c r="B214" s="1388"/>
      <c r="C214" s="1373"/>
      <c r="D214" s="1389"/>
      <c r="E214" s="1390"/>
      <c r="F214" s="1391"/>
      <c r="G214" s="1391"/>
      <c r="H214" s="1392"/>
      <c r="I214" s="1392"/>
    </row>
    <row r="215" spans="1:9" ht="15">
      <c r="A215" s="1366"/>
      <c r="B215" s="1388"/>
      <c r="C215" s="1373"/>
      <c r="D215" s="1389"/>
      <c r="E215" s="1390"/>
      <c r="F215" s="1391"/>
      <c r="G215" s="1391"/>
      <c r="H215" s="1392"/>
      <c r="I215" s="1392"/>
    </row>
    <row r="216" spans="1:9" ht="15">
      <c r="A216" s="1366"/>
      <c r="B216" s="1388"/>
      <c r="C216" s="1373"/>
      <c r="D216" s="1389"/>
      <c r="E216" s="1390"/>
      <c r="F216" s="1391"/>
      <c r="G216" s="1391"/>
      <c r="H216" s="1392"/>
      <c r="I216" s="1392"/>
    </row>
    <row r="217" spans="1:9" ht="15">
      <c r="A217" s="1366"/>
      <c r="B217" s="1388"/>
      <c r="C217" s="1373"/>
      <c r="D217" s="1389"/>
      <c r="E217" s="1390"/>
      <c r="F217" s="1391"/>
      <c r="G217" s="1391"/>
      <c r="H217" s="1392"/>
      <c r="I217" s="1392"/>
    </row>
    <row r="218" spans="1:9" ht="15">
      <c r="A218" s="1366"/>
      <c r="B218" s="1388"/>
      <c r="C218" s="1373"/>
      <c r="D218" s="1389"/>
      <c r="E218" s="1390"/>
      <c r="F218" s="1391"/>
      <c r="G218" s="1391"/>
      <c r="H218" s="1392"/>
      <c r="I218" s="1392"/>
    </row>
    <row r="219" spans="1:9" ht="15">
      <c r="A219" s="1366"/>
      <c r="B219" s="1388"/>
      <c r="C219" s="1373"/>
      <c r="D219" s="1389"/>
      <c r="E219" s="1390"/>
      <c r="F219" s="1391"/>
      <c r="G219" s="1391"/>
      <c r="H219" s="1392"/>
      <c r="I219" s="1392"/>
    </row>
    <row r="220" spans="1:9" ht="15">
      <c r="A220" s="1366"/>
      <c r="B220" s="1388"/>
      <c r="C220" s="1373"/>
      <c r="D220" s="1389"/>
      <c r="E220" s="1390"/>
      <c r="F220" s="1391"/>
      <c r="G220" s="1391"/>
      <c r="H220" s="1392"/>
      <c r="I220" s="1392"/>
    </row>
    <row r="221" spans="1:9" ht="15">
      <c r="A221" s="1366"/>
      <c r="B221" s="1388"/>
      <c r="C221" s="1373"/>
      <c r="D221" s="1389"/>
      <c r="E221" s="1390"/>
      <c r="F221" s="1391"/>
      <c r="G221" s="1391"/>
      <c r="H221" s="1392"/>
      <c r="I221" s="1392"/>
    </row>
    <row r="222" spans="1:9" ht="15">
      <c r="A222" s="1366"/>
      <c r="B222" s="1388"/>
      <c r="C222" s="1373"/>
      <c r="D222" s="1389"/>
      <c r="E222" s="1390"/>
      <c r="F222" s="1391"/>
      <c r="G222" s="1391"/>
      <c r="H222" s="1392"/>
      <c r="I222" s="1392"/>
    </row>
    <row r="223" spans="1:9" ht="15">
      <c r="A223" s="1366"/>
      <c r="B223" s="1388"/>
      <c r="C223" s="1373"/>
      <c r="D223" s="1389"/>
      <c r="E223" s="1390"/>
      <c r="F223" s="1391"/>
      <c r="G223" s="1391"/>
      <c r="H223" s="1392"/>
      <c r="I223" s="1392"/>
    </row>
    <row r="224" spans="1:9" ht="15">
      <c r="A224" s="1366"/>
      <c r="B224" s="1388"/>
      <c r="C224" s="1373"/>
      <c r="D224" s="1389"/>
      <c r="E224" s="1390"/>
      <c r="F224" s="1391"/>
      <c r="G224" s="1391"/>
      <c r="H224" s="1392"/>
      <c r="I224" s="1392"/>
    </row>
    <row r="225" spans="1:9" ht="15">
      <c r="A225" s="1366"/>
      <c r="B225" s="1388"/>
      <c r="C225" s="1373"/>
      <c r="D225" s="1389"/>
      <c r="E225" s="1390"/>
      <c r="F225" s="1391"/>
      <c r="G225" s="1391"/>
      <c r="H225" s="1392"/>
      <c r="I225" s="1392"/>
    </row>
    <row r="226" spans="1:9" ht="15">
      <c r="A226" s="1366"/>
      <c r="B226" s="1388"/>
      <c r="C226" s="1373"/>
      <c r="D226" s="1389"/>
      <c r="E226" s="1390"/>
      <c r="F226" s="1391"/>
      <c r="G226" s="1391"/>
      <c r="H226" s="1392"/>
      <c r="I226" s="1392"/>
    </row>
    <row r="227" spans="1:9" ht="15">
      <c r="A227" s="1366"/>
      <c r="B227" s="1388"/>
      <c r="C227" s="1373"/>
      <c r="D227" s="1389"/>
      <c r="E227" s="1390"/>
      <c r="F227" s="1391"/>
      <c r="G227" s="1391"/>
      <c r="H227" s="1392"/>
      <c r="I227" s="1392"/>
    </row>
    <row r="228" spans="1:9" ht="15">
      <c r="A228" s="1366"/>
      <c r="B228" s="1388"/>
      <c r="C228" s="1373"/>
      <c r="D228" s="1389"/>
      <c r="E228" s="1390"/>
      <c r="F228" s="1391"/>
      <c r="G228" s="1391"/>
      <c r="H228" s="1392"/>
      <c r="I228" s="1392"/>
    </row>
    <row r="229" spans="1:9" ht="15">
      <c r="A229" s="1366"/>
      <c r="B229" s="1388"/>
      <c r="C229" s="1373"/>
      <c r="D229" s="1389"/>
      <c r="E229" s="1390"/>
      <c r="F229" s="1391"/>
      <c r="G229" s="1391"/>
      <c r="H229" s="1392"/>
      <c r="I229" s="1392"/>
    </row>
    <row r="230" spans="1:9" ht="15">
      <c r="A230" s="1366"/>
      <c r="B230" s="1388"/>
      <c r="C230" s="1373"/>
      <c r="D230" s="1389"/>
      <c r="E230" s="1390"/>
      <c r="F230" s="1391"/>
      <c r="G230" s="1391"/>
      <c r="H230" s="1392"/>
      <c r="I230" s="1392"/>
    </row>
    <row r="231" spans="1:9" ht="15">
      <c r="A231" s="1366"/>
      <c r="B231" s="1388"/>
      <c r="C231" s="1373"/>
      <c r="D231" s="1389"/>
      <c r="E231" s="1390"/>
      <c r="F231" s="1391"/>
      <c r="G231" s="1391"/>
      <c r="H231" s="1392"/>
      <c r="I231" s="1392"/>
    </row>
    <row r="232" spans="1:9" ht="15">
      <c r="A232" s="1366"/>
      <c r="B232" s="1388"/>
      <c r="C232" s="1373"/>
      <c r="D232" s="1389"/>
      <c r="E232" s="1390"/>
      <c r="F232" s="1391"/>
      <c r="G232" s="1391"/>
      <c r="H232" s="1392"/>
      <c r="I232" s="1392"/>
    </row>
    <row r="233" spans="1:9" ht="15">
      <c r="A233" s="1366"/>
      <c r="B233" s="1388"/>
      <c r="C233" s="1373"/>
      <c r="D233" s="1389"/>
      <c r="E233" s="1390"/>
      <c r="F233" s="1391"/>
      <c r="G233" s="1391"/>
      <c r="H233" s="1392"/>
      <c r="I233" s="1392"/>
    </row>
    <row r="234" spans="1:9" ht="15">
      <c r="A234" s="1366"/>
      <c r="B234" s="1388"/>
      <c r="C234" s="1373"/>
      <c r="D234" s="1389"/>
      <c r="E234" s="1390"/>
      <c r="F234" s="1391"/>
      <c r="G234" s="1391"/>
      <c r="H234" s="1392"/>
      <c r="I234" s="1392"/>
    </row>
    <row r="235" spans="1:9" ht="15">
      <c r="A235" s="1366"/>
      <c r="B235" s="1388"/>
      <c r="C235" s="1373"/>
      <c r="D235" s="1389"/>
      <c r="E235" s="1390"/>
      <c r="F235" s="1391"/>
      <c r="G235" s="1391"/>
      <c r="H235" s="1392"/>
      <c r="I235" s="1392"/>
    </row>
    <row r="236" spans="1:9" ht="15">
      <c r="A236" s="1366"/>
      <c r="B236" s="1388"/>
      <c r="C236" s="1373"/>
      <c r="D236" s="1389"/>
      <c r="E236" s="1390"/>
      <c r="F236" s="1391"/>
      <c r="G236" s="1391"/>
      <c r="H236" s="1392"/>
      <c r="I236" s="1392"/>
    </row>
    <row r="237" spans="1:9" ht="15">
      <c r="A237" s="1366"/>
      <c r="B237" s="1388"/>
      <c r="C237" s="1373"/>
      <c r="D237" s="1389"/>
      <c r="E237" s="1390"/>
      <c r="F237" s="1391"/>
      <c r="G237" s="1391"/>
      <c r="H237" s="1392"/>
      <c r="I237" s="1392"/>
    </row>
    <row r="238" spans="1:9" ht="15">
      <c r="A238" s="1366"/>
      <c r="B238" s="1388"/>
      <c r="C238" s="1373"/>
      <c r="D238" s="1389"/>
      <c r="E238" s="1390"/>
      <c r="F238" s="1391"/>
      <c r="G238" s="1391"/>
      <c r="H238" s="1392"/>
      <c r="I238" s="1392"/>
    </row>
    <row r="239" spans="1:9" ht="15">
      <c r="A239" s="1366"/>
      <c r="B239" s="1388"/>
      <c r="C239" s="1373"/>
      <c r="D239" s="1389"/>
      <c r="E239" s="1390"/>
      <c r="F239" s="1391"/>
      <c r="G239" s="1391"/>
      <c r="H239" s="1392"/>
      <c r="I239" s="1392"/>
    </row>
    <row r="240" spans="1:9" ht="15">
      <c r="A240" s="1366"/>
      <c r="B240" s="1388"/>
      <c r="C240" s="1373"/>
      <c r="D240" s="1389"/>
      <c r="E240" s="1390"/>
      <c r="F240" s="1391"/>
      <c r="G240" s="1391"/>
      <c r="H240" s="1392"/>
      <c r="I240" s="1392"/>
    </row>
    <row r="241" spans="1:9" ht="15">
      <c r="A241" s="1366"/>
      <c r="B241" s="1388"/>
      <c r="C241" s="1373"/>
      <c r="D241" s="1389"/>
      <c r="E241" s="1390"/>
      <c r="F241" s="1391"/>
      <c r="G241" s="1391"/>
      <c r="H241" s="1392"/>
      <c r="I241" s="1392"/>
    </row>
    <row r="242" spans="1:9" ht="15">
      <c r="A242" s="1366"/>
      <c r="B242" s="1388"/>
      <c r="C242" s="1373"/>
      <c r="D242" s="1389"/>
      <c r="E242" s="1390"/>
      <c r="F242" s="1391"/>
      <c r="G242" s="1391"/>
      <c r="H242" s="1392"/>
      <c r="I242" s="1392"/>
    </row>
    <row r="243" spans="1:9" ht="15">
      <c r="A243" s="1366"/>
      <c r="B243" s="1388"/>
      <c r="C243" s="1373"/>
      <c r="D243" s="1389"/>
      <c r="E243" s="1390"/>
      <c r="F243" s="1391"/>
      <c r="G243" s="1391"/>
      <c r="H243" s="1392"/>
      <c r="I243" s="1392"/>
    </row>
    <row r="244" spans="1:9" ht="15">
      <c r="A244" s="1366"/>
      <c r="B244" s="1388"/>
      <c r="C244" s="1373"/>
      <c r="D244" s="1389"/>
      <c r="E244" s="1390"/>
      <c r="F244" s="1391"/>
      <c r="G244" s="1391"/>
      <c r="H244" s="1392"/>
      <c r="I244" s="1392"/>
    </row>
    <row r="245" spans="1:9" ht="15">
      <c r="A245" s="1366"/>
      <c r="B245" s="1388"/>
      <c r="C245" s="1373"/>
      <c r="D245" s="1389"/>
      <c r="E245" s="1390"/>
      <c r="F245" s="1391"/>
      <c r="G245" s="1391"/>
      <c r="H245" s="1392"/>
      <c r="I245" s="1392"/>
    </row>
    <row r="246" spans="1:9" ht="15">
      <c r="A246" s="1366"/>
      <c r="B246" s="1388"/>
      <c r="C246" s="1373"/>
      <c r="D246" s="1389"/>
      <c r="E246" s="1390"/>
      <c r="F246" s="1391"/>
      <c r="G246" s="1391"/>
      <c r="H246" s="1392"/>
      <c r="I246" s="1392"/>
    </row>
    <row r="247" spans="1:9" ht="15">
      <c r="A247" s="1366"/>
      <c r="B247" s="1388"/>
      <c r="C247" s="1373"/>
      <c r="D247" s="1389"/>
      <c r="E247" s="1390"/>
      <c r="F247" s="1391"/>
      <c r="G247" s="1391"/>
      <c r="H247" s="1392"/>
      <c r="I247" s="1392"/>
    </row>
    <row r="248" spans="1:9" ht="15">
      <c r="A248" s="1366"/>
      <c r="B248" s="1388"/>
      <c r="C248" s="1373"/>
      <c r="D248" s="1389"/>
      <c r="E248" s="1390"/>
      <c r="F248" s="1391"/>
      <c r="G248" s="1391"/>
      <c r="H248" s="1392"/>
      <c r="I248" s="1392"/>
    </row>
    <row r="249" spans="1:9" ht="15">
      <c r="A249" s="1366"/>
      <c r="B249" s="1388"/>
      <c r="C249" s="1373"/>
      <c r="D249" s="1389"/>
      <c r="E249" s="1390"/>
      <c r="F249" s="1391"/>
      <c r="G249" s="1391"/>
      <c r="H249" s="1392"/>
      <c r="I249" s="1392"/>
    </row>
    <row r="250" spans="1:9" ht="15">
      <c r="A250" s="1366"/>
      <c r="B250" s="1388"/>
      <c r="C250" s="1373"/>
      <c r="D250" s="1389"/>
      <c r="E250" s="1390"/>
      <c r="F250" s="1391"/>
      <c r="G250" s="1391"/>
      <c r="H250" s="1392"/>
      <c r="I250" s="1392"/>
    </row>
    <row r="251" spans="1:9" ht="15">
      <c r="A251" s="1366"/>
      <c r="B251" s="1388"/>
      <c r="C251" s="1373"/>
      <c r="D251" s="1389"/>
      <c r="E251" s="1390"/>
      <c r="F251" s="1391"/>
      <c r="G251" s="1391"/>
      <c r="H251" s="1392"/>
      <c r="I251" s="1392"/>
    </row>
    <row r="252" spans="1:9" ht="15">
      <c r="A252" s="1366"/>
      <c r="B252" s="1388"/>
      <c r="C252" s="1373"/>
      <c r="D252" s="1389"/>
      <c r="E252" s="1390"/>
      <c r="F252" s="1391"/>
      <c r="G252" s="1391"/>
      <c r="H252" s="1392"/>
      <c r="I252" s="1392"/>
    </row>
    <row r="253" spans="1:9" ht="15">
      <c r="A253" s="1366"/>
      <c r="B253" s="1388"/>
      <c r="C253" s="1373"/>
      <c r="D253" s="1389"/>
      <c r="E253" s="1390"/>
      <c r="F253" s="1391"/>
      <c r="G253" s="1391"/>
      <c r="H253" s="1392"/>
      <c r="I253" s="1392"/>
    </row>
    <row r="254" spans="1:9" ht="15">
      <c r="A254" s="1366"/>
      <c r="B254" s="1388"/>
      <c r="C254" s="1373"/>
      <c r="D254" s="1389"/>
      <c r="E254" s="1390"/>
      <c r="F254" s="1391"/>
      <c r="G254" s="1391"/>
      <c r="H254" s="1392"/>
      <c r="I254" s="1392"/>
    </row>
    <row r="255" spans="1:9" ht="15">
      <c r="A255" s="1366"/>
      <c r="B255" s="1388"/>
      <c r="C255" s="1373"/>
      <c r="D255" s="1389"/>
      <c r="E255" s="1390"/>
      <c r="F255" s="1391"/>
      <c r="G255" s="1391"/>
      <c r="H255" s="1392"/>
      <c r="I255" s="1392"/>
    </row>
    <row r="256" spans="1:9" ht="15">
      <c r="A256" s="1366"/>
      <c r="B256" s="1388"/>
      <c r="C256" s="1373"/>
      <c r="D256" s="1389"/>
      <c r="E256" s="1390"/>
      <c r="F256" s="1391"/>
      <c r="G256" s="1391"/>
      <c r="H256" s="1392"/>
      <c r="I256" s="1392"/>
    </row>
    <row r="257" spans="1:9" ht="15">
      <c r="A257" s="1366"/>
      <c r="B257" s="1388"/>
      <c r="C257" s="1373"/>
      <c r="D257" s="1389"/>
      <c r="E257" s="1390"/>
      <c r="F257" s="1391"/>
      <c r="G257" s="1391"/>
      <c r="H257" s="1392"/>
      <c r="I257" s="1392"/>
    </row>
    <row r="258" spans="1:9" ht="15">
      <c r="A258" s="1366"/>
      <c r="B258" s="1388"/>
      <c r="C258" s="1373"/>
      <c r="D258" s="1389"/>
      <c r="E258" s="1390"/>
      <c r="F258" s="1391"/>
      <c r="G258" s="1391"/>
      <c r="H258" s="1392"/>
      <c r="I258" s="1392"/>
    </row>
    <row r="259" spans="1:9" ht="15">
      <c r="A259" s="1366"/>
      <c r="B259" s="1388"/>
      <c r="C259" s="1373"/>
      <c r="D259" s="1389"/>
      <c r="E259" s="1390"/>
      <c r="F259" s="1391"/>
      <c r="G259" s="1391"/>
      <c r="H259" s="1392"/>
      <c r="I259" s="1392"/>
    </row>
    <row r="260" spans="1:9" ht="15">
      <c r="A260" s="1366"/>
      <c r="B260" s="1388"/>
      <c r="C260" s="1373"/>
      <c r="D260" s="1389"/>
      <c r="E260" s="1390"/>
      <c r="F260" s="1391"/>
      <c r="G260" s="1391"/>
      <c r="H260" s="1392"/>
      <c r="I260" s="1392"/>
    </row>
    <row r="261" spans="1:9" ht="15">
      <c r="A261" s="1366"/>
      <c r="B261" s="1388"/>
      <c r="C261" s="1373"/>
      <c r="D261" s="1389"/>
      <c r="E261" s="1390"/>
      <c r="F261" s="1391"/>
      <c r="G261" s="1391"/>
      <c r="H261" s="1392"/>
      <c r="I261" s="1392"/>
    </row>
    <row r="262" spans="1:9" ht="15">
      <c r="A262" s="1366"/>
      <c r="B262" s="1388"/>
      <c r="C262" s="1373"/>
      <c r="D262" s="1389"/>
      <c r="E262" s="1390"/>
      <c r="F262" s="1391"/>
      <c r="G262" s="1391"/>
      <c r="H262" s="1392"/>
      <c r="I262" s="1392"/>
    </row>
    <row r="263" spans="1:9" ht="15">
      <c r="A263" s="1366"/>
      <c r="B263" s="1388"/>
      <c r="C263" s="1373"/>
      <c r="D263" s="1389"/>
      <c r="E263" s="1390"/>
      <c r="F263" s="1391"/>
      <c r="G263" s="1391"/>
      <c r="H263" s="1392"/>
      <c r="I263" s="1392"/>
    </row>
    <row r="264" spans="1:9" ht="15">
      <c r="A264" s="1366"/>
      <c r="B264" s="1388"/>
      <c r="C264" s="1373"/>
      <c r="D264" s="1389"/>
      <c r="E264" s="1390"/>
      <c r="F264" s="1391"/>
      <c r="G264" s="1391"/>
      <c r="H264" s="1392"/>
      <c r="I264" s="1392"/>
    </row>
    <row r="265" spans="1:9" ht="15">
      <c r="A265" s="1366"/>
      <c r="B265" s="1388"/>
      <c r="C265" s="1373"/>
      <c r="D265" s="1389"/>
      <c r="E265" s="1390"/>
      <c r="F265" s="1391"/>
      <c r="G265" s="1391"/>
      <c r="H265" s="1392"/>
      <c r="I265" s="1392"/>
    </row>
    <row r="266" spans="1:9" ht="15">
      <c r="A266" s="1366"/>
      <c r="B266" s="1388"/>
      <c r="C266" s="1373"/>
      <c r="D266" s="1389"/>
      <c r="E266" s="1390"/>
      <c r="F266" s="1391"/>
      <c r="G266" s="1391"/>
      <c r="H266" s="1392"/>
      <c r="I266" s="1392"/>
    </row>
    <row r="267" spans="1:9" ht="15">
      <c r="A267" s="1366"/>
      <c r="B267" s="1388"/>
      <c r="C267" s="1373"/>
      <c r="D267" s="1389"/>
      <c r="E267" s="1390"/>
      <c r="F267" s="1391"/>
      <c r="G267" s="1391"/>
      <c r="H267" s="1392"/>
      <c r="I267" s="1392"/>
    </row>
    <row r="268" spans="1:9" ht="15">
      <c r="A268" s="1366"/>
      <c r="B268" s="1388"/>
      <c r="C268" s="1373"/>
      <c r="D268" s="1389"/>
      <c r="E268" s="1390"/>
      <c r="F268" s="1391"/>
      <c r="G268" s="1391"/>
      <c r="H268" s="1392"/>
      <c r="I268" s="1392"/>
    </row>
    <row r="269" spans="1:9" ht="15">
      <c r="A269" s="1366"/>
      <c r="B269" s="1388"/>
      <c r="C269" s="1373"/>
      <c r="D269" s="1389"/>
      <c r="E269" s="1390"/>
      <c r="F269" s="1391"/>
      <c r="G269" s="1391"/>
      <c r="H269" s="1392"/>
      <c r="I269" s="1392"/>
    </row>
    <row r="270" spans="1:9" ht="15">
      <c r="A270" s="1366"/>
      <c r="B270" s="1388"/>
      <c r="C270" s="1373"/>
      <c r="D270" s="1389"/>
      <c r="E270" s="1390"/>
      <c r="F270" s="1391"/>
      <c r="G270" s="1391"/>
      <c r="H270" s="1392"/>
      <c r="I270" s="1392"/>
    </row>
    <row r="271" spans="1:9" ht="15">
      <c r="A271" s="1366"/>
      <c r="B271" s="1388"/>
      <c r="C271" s="1373"/>
      <c r="D271" s="1389"/>
      <c r="E271" s="1390"/>
      <c r="F271" s="1391"/>
      <c r="G271" s="1391"/>
      <c r="H271" s="1392"/>
      <c r="I271" s="1392"/>
    </row>
    <row r="272" spans="1:9" ht="15">
      <c r="A272" s="1366"/>
      <c r="B272" s="1388"/>
      <c r="C272" s="1373"/>
      <c r="D272" s="1389"/>
      <c r="E272" s="1390"/>
      <c r="F272" s="1391"/>
      <c r="G272" s="1391"/>
      <c r="H272" s="1392"/>
      <c r="I272" s="1392"/>
    </row>
    <row r="273" spans="1:9" ht="15">
      <c r="A273" s="1366"/>
      <c r="B273" s="1388"/>
      <c r="C273" s="1373"/>
      <c r="D273" s="1389"/>
      <c r="E273" s="1390"/>
      <c r="F273" s="1391"/>
      <c r="G273" s="1391"/>
      <c r="H273" s="1392"/>
      <c r="I273" s="1392"/>
    </row>
    <row r="274" spans="1:9" ht="15">
      <c r="A274" s="1366"/>
      <c r="B274" s="1388"/>
      <c r="C274" s="1373"/>
      <c r="D274" s="1389"/>
      <c r="E274" s="1390"/>
      <c r="F274" s="1391"/>
      <c r="G274" s="1391"/>
      <c r="H274" s="1392"/>
      <c r="I274" s="1392"/>
    </row>
    <row r="275" spans="1:9" ht="15">
      <c r="A275" s="1366"/>
      <c r="B275" s="1388"/>
      <c r="C275" s="1373"/>
      <c r="D275" s="1389"/>
      <c r="E275" s="1390"/>
      <c r="F275" s="1391"/>
      <c r="G275" s="1391"/>
      <c r="H275" s="1392"/>
      <c r="I275" s="1392"/>
    </row>
    <row r="276" spans="1:9" ht="15">
      <c r="A276" s="1366"/>
      <c r="B276" s="1388"/>
      <c r="C276" s="1373"/>
      <c r="D276" s="1389"/>
      <c r="E276" s="1390"/>
      <c r="F276" s="1391"/>
      <c r="G276" s="1391"/>
      <c r="H276" s="1392"/>
      <c r="I276" s="1392"/>
    </row>
    <row r="277" spans="1:9" ht="15">
      <c r="A277" s="1366"/>
      <c r="B277" s="1388"/>
      <c r="C277" s="1373"/>
      <c r="D277" s="1389"/>
      <c r="E277" s="1390"/>
      <c r="F277" s="1391"/>
      <c r="G277" s="1391"/>
      <c r="H277" s="1392"/>
      <c r="I277" s="1392"/>
    </row>
    <row r="278" spans="1:9" ht="15">
      <c r="A278" s="1366"/>
      <c r="B278" s="1388"/>
      <c r="C278" s="1373"/>
      <c r="D278" s="1389"/>
      <c r="E278" s="1390"/>
      <c r="F278" s="1391"/>
      <c r="G278" s="1391"/>
      <c r="H278" s="1392"/>
      <c r="I278" s="1392"/>
    </row>
    <row r="279" spans="1:9" ht="15">
      <c r="A279" s="1366"/>
      <c r="B279" s="1388"/>
      <c r="C279" s="1373"/>
      <c r="D279" s="1389"/>
      <c r="E279" s="1390"/>
      <c r="F279" s="1391"/>
      <c r="G279" s="1391"/>
      <c r="H279" s="1392"/>
      <c r="I279" s="1392"/>
    </row>
    <row r="280" spans="1:9" ht="15">
      <c r="A280" s="1366"/>
      <c r="B280" s="1388"/>
      <c r="C280" s="1373"/>
      <c r="D280" s="1389"/>
      <c r="E280" s="1390"/>
      <c r="F280" s="1391"/>
      <c r="G280" s="1391"/>
      <c r="H280" s="1392"/>
      <c r="I280" s="1392"/>
    </row>
    <row r="281" spans="1:9" ht="15">
      <c r="A281" s="1366"/>
      <c r="B281" s="1388"/>
      <c r="C281" s="1373"/>
      <c r="D281" s="1389"/>
      <c r="E281" s="1390"/>
      <c r="F281" s="1391"/>
      <c r="G281" s="1391"/>
      <c r="H281" s="1392"/>
      <c r="I281" s="1392"/>
    </row>
    <row r="282" spans="1:9" ht="15">
      <c r="A282" s="1366"/>
      <c r="B282" s="1388"/>
      <c r="C282" s="1373"/>
      <c r="D282" s="1389"/>
      <c r="E282" s="1390"/>
      <c r="F282" s="1391"/>
      <c r="G282" s="1391"/>
      <c r="H282" s="1392"/>
      <c r="I282" s="1392"/>
    </row>
    <row r="283" spans="1:9" ht="15">
      <c r="A283" s="1366"/>
      <c r="B283" s="1388"/>
      <c r="C283" s="1373"/>
      <c r="D283" s="1389"/>
      <c r="E283" s="1390"/>
      <c r="F283" s="1391"/>
      <c r="G283" s="1391"/>
      <c r="H283" s="1392"/>
      <c r="I283" s="1392"/>
    </row>
    <row r="284" spans="1:9" ht="15">
      <c r="A284" s="1366"/>
      <c r="B284" s="1388"/>
      <c r="C284" s="1373"/>
      <c r="D284" s="1389"/>
      <c r="E284" s="1390"/>
      <c r="F284" s="1391"/>
      <c r="G284" s="1391"/>
      <c r="H284" s="1392"/>
      <c r="I284" s="1392"/>
    </row>
    <row r="285" spans="1:9" ht="15">
      <c r="A285" s="1366"/>
      <c r="B285" s="1388"/>
      <c r="C285" s="1373"/>
      <c r="D285" s="1389"/>
      <c r="E285" s="1390"/>
      <c r="F285" s="1391"/>
      <c r="G285" s="1391"/>
      <c r="H285" s="1392"/>
      <c r="I285" s="1392"/>
    </row>
    <row r="286" spans="1:9" ht="15">
      <c r="A286" s="1366"/>
      <c r="B286" s="1388"/>
      <c r="C286" s="1373"/>
      <c r="D286" s="1389"/>
      <c r="E286" s="1390"/>
      <c r="F286" s="1391"/>
      <c r="G286" s="1391"/>
      <c r="H286" s="1392"/>
      <c r="I286" s="1392"/>
    </row>
    <row r="287" spans="1:9" ht="15">
      <c r="A287" s="1366"/>
      <c r="B287" s="1388"/>
      <c r="C287" s="1373"/>
      <c r="D287" s="1389"/>
      <c r="E287" s="1390"/>
      <c r="F287" s="1391"/>
      <c r="G287" s="1391"/>
      <c r="H287" s="1392"/>
      <c r="I287" s="1392"/>
    </row>
    <row r="288" spans="1:9" ht="15">
      <c r="A288" s="1366"/>
      <c r="B288" s="1388"/>
      <c r="C288" s="1373"/>
      <c r="D288" s="1389"/>
      <c r="E288" s="1390"/>
      <c r="F288" s="1391"/>
      <c r="G288" s="1391"/>
      <c r="H288" s="1392"/>
      <c r="I288" s="1392"/>
    </row>
    <row r="289" spans="1:9" ht="15">
      <c r="A289" s="1366"/>
      <c r="B289" s="1388"/>
      <c r="C289" s="1373"/>
      <c r="D289" s="1389"/>
      <c r="E289" s="1390"/>
      <c r="F289" s="1391"/>
      <c r="G289" s="1391"/>
      <c r="H289" s="1392"/>
      <c r="I289" s="1392"/>
    </row>
    <row r="290" spans="1:9" ht="15">
      <c r="A290" s="1366"/>
      <c r="B290" s="1388"/>
      <c r="C290" s="1373"/>
      <c r="D290" s="1389"/>
      <c r="E290" s="1390"/>
      <c r="F290" s="1391"/>
      <c r="G290" s="1391"/>
      <c r="H290" s="1392"/>
      <c r="I290" s="1392"/>
    </row>
    <row r="291" spans="1:9" ht="15">
      <c r="A291" s="1366"/>
      <c r="B291" s="1388"/>
      <c r="C291" s="1373"/>
      <c r="D291" s="1389"/>
      <c r="E291" s="1390"/>
      <c r="F291" s="1391"/>
      <c r="G291" s="1391"/>
      <c r="H291" s="1392"/>
      <c r="I291" s="1392"/>
    </row>
    <row r="292" spans="1:9" ht="15">
      <c r="A292" s="1366"/>
      <c r="B292" s="1388"/>
      <c r="C292" s="1373"/>
      <c r="D292" s="1389"/>
      <c r="E292" s="1390"/>
      <c r="F292" s="1391"/>
      <c r="G292" s="1391"/>
      <c r="H292" s="1392"/>
      <c r="I292" s="1392"/>
    </row>
    <row r="293" spans="1:9" ht="15">
      <c r="A293" s="1366"/>
      <c r="B293" s="1388"/>
      <c r="C293" s="1373"/>
      <c r="D293" s="1389"/>
      <c r="E293" s="1390"/>
      <c r="F293" s="1391"/>
      <c r="G293" s="1391"/>
      <c r="H293" s="1392"/>
      <c r="I293" s="1392"/>
    </row>
    <row r="294" spans="1:9" ht="15">
      <c r="A294" s="1366"/>
      <c r="B294" s="1388"/>
      <c r="C294" s="1373"/>
      <c r="D294" s="1389"/>
      <c r="E294" s="1390"/>
      <c r="F294" s="1391"/>
      <c r="G294" s="1391"/>
      <c r="H294" s="1392"/>
      <c r="I294" s="1392"/>
    </row>
    <row r="295" spans="1:9" ht="15">
      <c r="A295" s="1366"/>
      <c r="B295" s="1388"/>
      <c r="C295" s="1373"/>
      <c r="D295" s="1389"/>
      <c r="E295" s="1390"/>
      <c r="F295" s="1391"/>
      <c r="G295" s="1391"/>
      <c r="H295" s="1392"/>
      <c r="I295" s="1392"/>
    </row>
    <row r="296" spans="1:9" ht="15">
      <c r="A296" s="1366"/>
      <c r="B296" s="1388"/>
      <c r="C296" s="1373"/>
      <c r="D296" s="1389"/>
      <c r="E296" s="1390"/>
      <c r="F296" s="1391"/>
      <c r="G296" s="1391"/>
      <c r="H296" s="1392"/>
      <c r="I296" s="1392"/>
    </row>
    <row r="297" spans="1:9" ht="15">
      <c r="A297" s="1366"/>
      <c r="B297" s="1388"/>
      <c r="C297" s="1373"/>
      <c r="D297" s="1389"/>
      <c r="E297" s="1390"/>
      <c r="F297" s="1391"/>
      <c r="G297" s="1391"/>
      <c r="H297" s="1392"/>
      <c r="I297" s="1392"/>
    </row>
    <row r="298" spans="1:9" ht="15">
      <c r="A298" s="1366"/>
      <c r="B298" s="1388"/>
      <c r="C298" s="1373"/>
      <c r="D298" s="1389"/>
      <c r="E298" s="1390"/>
      <c r="F298" s="1391"/>
      <c r="G298" s="1391"/>
      <c r="H298" s="1392"/>
      <c r="I298" s="1392"/>
    </row>
    <row r="299" spans="1:9" ht="15">
      <c r="A299" s="1366"/>
      <c r="B299" s="1388"/>
      <c r="C299" s="1373"/>
      <c r="D299" s="1389"/>
      <c r="E299" s="1390"/>
      <c r="F299" s="1391"/>
      <c r="G299" s="1391"/>
      <c r="H299" s="1392"/>
      <c r="I299" s="1392"/>
    </row>
    <row r="300" spans="1:9" ht="15">
      <c r="A300" s="1366"/>
      <c r="B300" s="1388"/>
      <c r="C300" s="1373"/>
      <c r="D300" s="1389"/>
      <c r="E300" s="1390"/>
      <c r="F300" s="1391"/>
      <c r="G300" s="1391"/>
      <c r="H300" s="1392"/>
      <c r="I300" s="1392"/>
    </row>
    <row r="301" spans="1:9" ht="15">
      <c r="A301" s="1366"/>
      <c r="B301" s="1388"/>
      <c r="C301" s="1373"/>
      <c r="D301" s="1389"/>
      <c r="E301" s="1390"/>
      <c r="F301" s="1391"/>
      <c r="G301" s="1391"/>
      <c r="H301" s="1392"/>
      <c r="I301" s="1392"/>
    </row>
    <row r="302" spans="1:9" ht="15">
      <c r="A302" s="1366"/>
      <c r="B302" s="1388"/>
      <c r="C302" s="1373"/>
      <c r="D302" s="1389"/>
      <c r="E302" s="1390"/>
      <c r="F302" s="1391"/>
      <c r="G302" s="1391"/>
      <c r="H302" s="1392"/>
      <c r="I302" s="1392"/>
    </row>
    <row r="303" spans="1:9" ht="15">
      <c r="A303" s="1366"/>
      <c r="B303" s="1388"/>
      <c r="C303" s="1373"/>
      <c r="D303" s="1389"/>
      <c r="E303" s="1390"/>
      <c r="F303" s="1391"/>
      <c r="G303" s="1391"/>
      <c r="H303" s="1392"/>
      <c r="I303" s="1392"/>
    </row>
    <row r="304" spans="1:9" ht="15">
      <c r="A304" s="1366"/>
      <c r="B304" s="1388"/>
      <c r="C304" s="1373"/>
      <c r="D304" s="1389"/>
      <c r="E304" s="1390"/>
      <c r="F304" s="1391"/>
      <c r="G304" s="1391"/>
      <c r="H304" s="1392"/>
      <c r="I304" s="1392"/>
    </row>
    <row r="305" spans="1:9" ht="15">
      <c r="A305" s="1366"/>
      <c r="B305" s="1388"/>
      <c r="C305" s="1373"/>
      <c r="D305" s="1389"/>
      <c r="E305" s="1390"/>
      <c r="F305" s="1391"/>
      <c r="G305" s="1391"/>
      <c r="H305" s="1392"/>
      <c r="I305" s="1392"/>
    </row>
    <row r="306" spans="1:9" ht="15">
      <c r="A306" s="1366"/>
      <c r="B306" s="1388"/>
      <c r="C306" s="1373"/>
      <c r="D306" s="1389"/>
      <c r="E306" s="1390"/>
      <c r="F306" s="1391"/>
      <c r="G306" s="1391"/>
      <c r="H306" s="1392"/>
      <c r="I306" s="1392"/>
    </row>
    <row r="307" spans="1:9" ht="15">
      <c r="A307" s="1366"/>
      <c r="B307" s="1388"/>
      <c r="C307" s="1373"/>
      <c r="D307" s="1389"/>
      <c r="E307" s="1390"/>
      <c r="F307" s="1391"/>
      <c r="G307" s="1391"/>
      <c r="H307" s="1392"/>
      <c r="I307" s="1392"/>
    </row>
    <row r="308" spans="1:9" ht="15">
      <c r="A308" s="1366"/>
      <c r="B308" s="1388"/>
      <c r="C308" s="1373"/>
      <c r="D308" s="1389"/>
      <c r="E308" s="1390"/>
      <c r="F308" s="1391"/>
      <c r="G308" s="1391"/>
      <c r="H308" s="1392"/>
      <c r="I308" s="1392"/>
    </row>
    <row r="309" spans="1:9" ht="15">
      <c r="A309" s="1366"/>
      <c r="B309" s="1388"/>
      <c r="C309" s="1373"/>
      <c r="D309" s="1389"/>
      <c r="E309" s="1390"/>
      <c r="F309" s="1391"/>
      <c r="G309" s="1391"/>
      <c r="H309" s="1392"/>
      <c r="I309" s="1392"/>
    </row>
    <row r="310" spans="1:9" ht="15">
      <c r="A310" s="1366"/>
      <c r="B310" s="1388"/>
      <c r="C310" s="1373"/>
      <c r="D310" s="1389"/>
      <c r="E310" s="1390"/>
      <c r="F310" s="1391"/>
      <c r="G310" s="1391"/>
      <c r="H310" s="1392"/>
      <c r="I310" s="1392"/>
    </row>
    <row r="311" spans="1:9" ht="15">
      <c r="A311" s="1366"/>
      <c r="B311" s="1388"/>
      <c r="C311" s="1373"/>
      <c r="D311" s="1389"/>
      <c r="E311" s="1390"/>
      <c r="F311" s="1391"/>
      <c r="G311" s="1391"/>
      <c r="H311" s="1392"/>
      <c r="I311" s="1392"/>
    </row>
    <row r="312" spans="1:9" ht="15">
      <c r="A312" s="1366"/>
      <c r="B312" s="1388"/>
      <c r="C312" s="1373"/>
      <c r="D312" s="1389"/>
      <c r="E312" s="1390"/>
      <c r="F312" s="1391"/>
      <c r="G312" s="1391"/>
      <c r="H312" s="1392"/>
      <c r="I312" s="1392"/>
    </row>
    <row r="313" spans="1:9" ht="15">
      <c r="A313" s="1366"/>
      <c r="B313" s="1388"/>
      <c r="C313" s="1373"/>
      <c r="D313" s="1389"/>
      <c r="E313" s="1390"/>
      <c r="F313" s="1391"/>
      <c r="G313" s="1391"/>
      <c r="H313" s="1392"/>
      <c r="I313" s="1392"/>
    </row>
    <row r="314" spans="1:9" ht="15">
      <c r="A314" s="1366"/>
      <c r="B314" s="1388"/>
      <c r="C314" s="1373"/>
      <c r="D314" s="1389"/>
      <c r="E314" s="1390"/>
      <c r="F314" s="1391"/>
      <c r="G314" s="1391"/>
      <c r="H314" s="1392"/>
      <c r="I314" s="1392"/>
    </row>
    <row r="315" spans="1:9" ht="15">
      <c r="A315" s="1366"/>
      <c r="B315" s="1388"/>
      <c r="C315" s="1373"/>
      <c r="D315" s="1389"/>
      <c r="E315" s="1390"/>
      <c r="F315" s="1391"/>
      <c r="G315" s="1391"/>
      <c r="H315" s="1392"/>
      <c r="I315" s="1392"/>
    </row>
    <row r="316" spans="1:9" ht="15">
      <c r="A316" s="1366"/>
      <c r="B316" s="1388"/>
      <c r="C316" s="1373"/>
      <c r="D316" s="1389"/>
      <c r="E316" s="1390"/>
      <c r="F316" s="1391"/>
      <c r="G316" s="1391"/>
      <c r="H316" s="1392"/>
      <c r="I316" s="1392"/>
    </row>
    <row r="317" spans="1:9" ht="15">
      <c r="A317" s="1366"/>
      <c r="B317" s="1388"/>
      <c r="C317" s="1373"/>
      <c r="D317" s="1389"/>
      <c r="E317" s="1390"/>
      <c r="F317" s="1391"/>
      <c r="G317" s="1391"/>
      <c r="H317" s="1392"/>
      <c r="I317" s="1392"/>
    </row>
    <row r="318" spans="1:9" ht="15">
      <c r="A318" s="1366"/>
      <c r="B318" s="1388"/>
      <c r="C318" s="1373"/>
      <c r="D318" s="1389"/>
      <c r="E318" s="1390"/>
      <c r="F318" s="1391"/>
      <c r="G318" s="1391"/>
      <c r="H318" s="1392"/>
      <c r="I318" s="1392"/>
    </row>
    <row r="319" spans="1:9" ht="15">
      <c r="A319" s="1366"/>
      <c r="B319" s="1388"/>
      <c r="C319" s="1373"/>
      <c r="D319" s="1389"/>
      <c r="E319" s="1390"/>
      <c r="F319" s="1391"/>
      <c r="G319" s="1391"/>
      <c r="H319" s="1392"/>
      <c r="I319" s="1392"/>
    </row>
    <row r="320" spans="1:9" ht="15">
      <c r="A320" s="1366"/>
      <c r="B320" s="1388"/>
      <c r="C320" s="1373"/>
      <c r="D320" s="1389"/>
      <c r="E320" s="1390"/>
      <c r="F320" s="1391"/>
      <c r="G320" s="1391"/>
      <c r="H320" s="1392"/>
      <c r="I320" s="1392"/>
    </row>
    <row r="321" spans="1:9" ht="15">
      <c r="A321" s="1366"/>
      <c r="B321" s="1388"/>
      <c r="C321" s="1373"/>
      <c r="D321" s="1389"/>
      <c r="E321" s="1390"/>
      <c r="F321" s="1391"/>
      <c r="G321" s="1391"/>
      <c r="H321" s="1392"/>
      <c r="I321" s="1392"/>
    </row>
    <row r="322" spans="1:9" ht="15">
      <c r="A322" s="1366"/>
      <c r="B322" s="1388"/>
      <c r="C322" s="1373"/>
      <c r="D322" s="1389"/>
      <c r="E322" s="1390"/>
      <c r="F322" s="1391"/>
      <c r="G322" s="1391"/>
      <c r="H322" s="1392"/>
      <c r="I322" s="1392"/>
    </row>
    <row r="323" spans="1:9" ht="15">
      <c r="A323" s="1366"/>
      <c r="B323" s="1388"/>
      <c r="C323" s="1373"/>
      <c r="D323" s="1389"/>
      <c r="E323" s="1390"/>
      <c r="F323" s="1391"/>
      <c r="G323" s="1391"/>
      <c r="H323" s="1392"/>
      <c r="I323" s="1392"/>
    </row>
    <row r="324" spans="1:9" ht="15">
      <c r="A324" s="1366"/>
      <c r="B324" s="1388"/>
      <c r="C324" s="1373"/>
      <c r="D324" s="1389"/>
      <c r="E324" s="1390"/>
      <c r="F324" s="1391"/>
      <c r="G324" s="1391"/>
      <c r="H324" s="1392"/>
      <c r="I324" s="1392"/>
    </row>
    <row r="325" spans="1:9" ht="15">
      <c r="A325" s="1366"/>
      <c r="B325" s="1388"/>
      <c r="C325" s="1373"/>
      <c r="D325" s="1389"/>
      <c r="E325" s="1390"/>
      <c r="F325" s="1391"/>
      <c r="G325" s="1391"/>
      <c r="H325" s="1392"/>
      <c r="I325" s="1392"/>
    </row>
    <row r="326" spans="1:9" ht="15">
      <c r="A326" s="1366"/>
      <c r="B326" s="1388"/>
      <c r="C326" s="1373"/>
      <c r="D326" s="1389"/>
      <c r="E326" s="1390"/>
      <c r="F326" s="1391"/>
      <c r="G326" s="1391"/>
      <c r="H326" s="1392"/>
      <c r="I326" s="1392"/>
    </row>
    <row r="327" spans="1:9" ht="15">
      <c r="A327" s="1366"/>
      <c r="B327" s="1388"/>
      <c r="C327" s="1373"/>
      <c r="D327" s="1389"/>
      <c r="E327" s="1390"/>
      <c r="F327" s="1391"/>
      <c r="G327" s="1391"/>
      <c r="H327" s="1392"/>
      <c r="I327" s="1392"/>
    </row>
    <row r="328" spans="1:9" ht="15">
      <c r="A328" s="1366"/>
      <c r="B328" s="1388"/>
      <c r="C328" s="1373"/>
      <c r="D328" s="1389"/>
      <c r="E328" s="1390"/>
      <c r="F328" s="1391"/>
      <c r="G328" s="1391"/>
      <c r="H328" s="1392"/>
      <c r="I328" s="1392"/>
    </row>
    <row r="329" spans="1:9" ht="15">
      <c r="A329" s="1366"/>
      <c r="B329" s="1388"/>
      <c r="C329" s="1373"/>
      <c r="D329" s="1389"/>
      <c r="E329" s="1390"/>
      <c r="F329" s="1391"/>
      <c r="G329" s="1391"/>
      <c r="H329" s="1392"/>
      <c r="I329" s="1392"/>
    </row>
    <row r="330" spans="1:9" ht="15">
      <c r="A330" s="1366"/>
      <c r="B330" s="1388"/>
      <c r="C330" s="1373"/>
      <c r="D330" s="1389"/>
      <c r="E330" s="1390"/>
      <c r="F330" s="1391"/>
      <c r="G330" s="1391"/>
      <c r="H330" s="1392"/>
      <c r="I330" s="1392"/>
    </row>
    <row r="331" spans="1:9" ht="15">
      <c r="A331" s="1366"/>
      <c r="B331" s="1388"/>
      <c r="C331" s="1373"/>
      <c r="D331" s="1389"/>
      <c r="E331" s="1390"/>
      <c r="F331" s="1391"/>
      <c r="G331" s="1391"/>
      <c r="H331" s="1392"/>
      <c r="I331" s="1392"/>
    </row>
    <row r="332" spans="1:9" ht="15">
      <c r="A332" s="1366"/>
      <c r="B332" s="1388"/>
      <c r="C332" s="1373"/>
      <c r="D332" s="1389"/>
      <c r="E332" s="1390"/>
      <c r="F332" s="1391"/>
      <c r="G332" s="1391"/>
      <c r="H332" s="1392"/>
      <c r="I332" s="1392"/>
    </row>
    <row r="333" spans="1:9" ht="15">
      <c r="A333" s="1366"/>
      <c r="B333" s="1388"/>
      <c r="C333" s="1373"/>
      <c r="D333" s="1389"/>
      <c r="E333" s="1390"/>
      <c r="F333" s="1391"/>
      <c r="G333" s="1391"/>
      <c r="H333" s="1392"/>
      <c r="I333" s="1392"/>
    </row>
    <row r="334" spans="1:9" ht="15">
      <c r="A334" s="1366"/>
      <c r="B334" s="1388"/>
      <c r="C334" s="1373"/>
      <c r="D334" s="1389"/>
      <c r="E334" s="1390"/>
      <c r="F334" s="1391"/>
      <c r="G334" s="1391"/>
      <c r="H334" s="1392"/>
      <c r="I334" s="1392"/>
    </row>
    <row r="335" spans="1:9" ht="15">
      <c r="A335" s="1366"/>
      <c r="B335" s="1388"/>
      <c r="C335" s="1373"/>
      <c r="D335" s="1389"/>
      <c r="E335" s="1390"/>
      <c r="F335" s="1391"/>
      <c r="G335" s="1391"/>
      <c r="H335" s="1392"/>
      <c r="I335" s="1392"/>
    </row>
    <row r="336" spans="1:9" ht="15">
      <c r="A336" s="1366"/>
      <c r="B336" s="1388"/>
      <c r="C336" s="1373"/>
      <c r="D336" s="1389"/>
      <c r="E336" s="1390"/>
      <c r="F336" s="1391"/>
      <c r="G336" s="1391"/>
      <c r="H336" s="1392"/>
      <c r="I336" s="1392"/>
    </row>
    <row r="337" spans="1:9" ht="15">
      <c r="A337" s="1366"/>
      <c r="B337" s="1388"/>
      <c r="C337" s="1373"/>
      <c r="D337" s="1389"/>
      <c r="E337" s="1390"/>
      <c r="F337" s="1391"/>
      <c r="G337" s="1391"/>
      <c r="H337" s="1392"/>
      <c r="I337" s="1392"/>
    </row>
    <row r="338" spans="1:9" ht="15">
      <c r="A338" s="1366"/>
      <c r="B338" s="1388"/>
      <c r="C338" s="1373"/>
      <c r="D338" s="1389"/>
      <c r="E338" s="1390"/>
      <c r="F338" s="1391"/>
      <c r="G338" s="1391"/>
      <c r="H338" s="1392"/>
      <c r="I338" s="1392"/>
    </row>
    <row r="339" spans="1:9" ht="15">
      <c r="A339" s="1366"/>
      <c r="B339" s="1388"/>
      <c r="C339" s="1373"/>
      <c r="D339" s="1389"/>
      <c r="E339" s="1390"/>
      <c r="F339" s="1391"/>
      <c r="G339" s="1391"/>
      <c r="H339" s="1392"/>
      <c r="I339" s="1392"/>
    </row>
    <row r="340" spans="1:9" ht="15">
      <c r="A340" s="1366"/>
      <c r="B340" s="1388"/>
      <c r="C340" s="1373"/>
      <c r="D340" s="1389"/>
      <c r="E340" s="1390"/>
      <c r="F340" s="1391"/>
      <c r="G340" s="1391"/>
      <c r="H340" s="1392"/>
      <c r="I340" s="1392"/>
    </row>
    <row r="341" spans="1:9" ht="15">
      <c r="A341" s="1366"/>
      <c r="B341" s="1388"/>
      <c r="C341" s="1373"/>
      <c r="D341" s="1389"/>
      <c r="E341" s="1390"/>
      <c r="F341" s="1391"/>
      <c r="G341" s="1391"/>
      <c r="H341" s="1392"/>
      <c r="I341" s="1392"/>
    </row>
    <row r="342" spans="1:9" ht="15">
      <c r="A342" s="1366"/>
      <c r="B342" s="1388"/>
      <c r="C342" s="1373"/>
      <c r="D342" s="1389"/>
      <c r="E342" s="1390"/>
      <c r="F342" s="1391"/>
      <c r="G342" s="1391"/>
      <c r="H342" s="1392"/>
      <c r="I342" s="1392"/>
    </row>
    <row r="343" spans="1:9" ht="15">
      <c r="A343" s="1366"/>
      <c r="B343" s="1388"/>
      <c r="C343" s="1373"/>
      <c r="D343" s="1389"/>
      <c r="E343" s="1390"/>
      <c r="F343" s="1391"/>
      <c r="G343" s="1391"/>
      <c r="H343" s="1392"/>
      <c r="I343" s="1392"/>
    </row>
    <row r="344" spans="1:9" ht="15">
      <c r="A344" s="1366"/>
      <c r="B344" s="1388"/>
      <c r="C344" s="1373"/>
      <c r="D344" s="1389"/>
      <c r="E344" s="1390"/>
      <c r="F344" s="1391"/>
      <c r="G344" s="1391"/>
      <c r="H344" s="1392"/>
      <c r="I344" s="1392"/>
    </row>
    <row r="345" spans="1:9" ht="15">
      <c r="A345" s="1366"/>
      <c r="B345" s="1388"/>
      <c r="C345" s="1373"/>
      <c r="D345" s="1389"/>
      <c r="E345" s="1390"/>
      <c r="F345" s="1391"/>
      <c r="G345" s="1391"/>
      <c r="H345" s="1392"/>
      <c r="I345" s="1392"/>
    </row>
    <row r="346" spans="1:9" ht="15">
      <c r="A346" s="1366"/>
      <c r="B346" s="1388"/>
      <c r="C346" s="1373"/>
      <c r="D346" s="1389"/>
      <c r="E346" s="1390"/>
      <c r="F346" s="1391"/>
      <c r="G346" s="1391"/>
      <c r="H346" s="1392"/>
      <c r="I346" s="1392"/>
    </row>
    <row r="347" spans="1:9" ht="15">
      <c r="A347" s="1366"/>
      <c r="B347" s="1388"/>
      <c r="C347" s="1373"/>
      <c r="D347" s="1389"/>
      <c r="E347" s="1390"/>
      <c r="F347" s="1391"/>
      <c r="G347" s="1391"/>
      <c r="H347" s="1392"/>
      <c r="I347" s="1392"/>
    </row>
    <row r="348" spans="1:9" ht="15">
      <c r="A348" s="1366"/>
      <c r="B348" s="1388"/>
      <c r="C348" s="1373"/>
      <c r="D348" s="1389"/>
      <c r="E348" s="1390"/>
      <c r="F348" s="1391"/>
      <c r="G348" s="1391"/>
      <c r="H348" s="1392"/>
      <c r="I348" s="1392"/>
    </row>
    <row r="349" spans="1:9" ht="15">
      <c r="A349" s="1366"/>
      <c r="B349" s="1388"/>
      <c r="C349" s="1373"/>
      <c r="D349" s="1389"/>
      <c r="E349" s="1390"/>
      <c r="F349" s="1391"/>
      <c r="G349" s="1391"/>
      <c r="H349" s="1392"/>
      <c r="I349" s="1392"/>
    </row>
    <row r="350" spans="1:9" ht="15">
      <c r="A350" s="1366"/>
      <c r="B350" s="1388"/>
      <c r="C350" s="1373"/>
      <c r="D350" s="1389"/>
      <c r="E350" s="1390"/>
      <c r="F350" s="1391"/>
      <c r="G350" s="1391"/>
      <c r="H350" s="1392"/>
      <c r="I350" s="1392"/>
    </row>
    <row r="351" spans="1:9" ht="15">
      <c r="A351" s="1366"/>
      <c r="B351" s="1388"/>
      <c r="C351" s="1373"/>
      <c r="D351" s="1389"/>
      <c r="E351" s="1390"/>
      <c r="F351" s="1391"/>
      <c r="G351" s="1391"/>
      <c r="H351" s="1392"/>
      <c r="I351" s="1392"/>
    </row>
    <row r="352" spans="1:9" ht="15">
      <c r="A352" s="1366"/>
      <c r="B352" s="1388"/>
      <c r="C352" s="1373"/>
      <c r="D352" s="1389"/>
      <c r="E352" s="1390"/>
      <c r="F352" s="1391"/>
      <c r="G352" s="1391"/>
      <c r="H352" s="1392"/>
      <c r="I352" s="1392"/>
    </row>
    <row r="353" spans="1:9" ht="15">
      <c r="A353" s="1366"/>
      <c r="B353" s="1388"/>
      <c r="C353" s="1373"/>
      <c r="D353" s="1389"/>
      <c r="E353" s="1390"/>
      <c r="F353" s="1391"/>
      <c r="G353" s="1391"/>
      <c r="H353" s="1392"/>
      <c r="I353" s="1392"/>
    </row>
    <row r="354" spans="1:9" ht="15">
      <c r="A354" s="1366"/>
      <c r="B354" s="1388"/>
      <c r="C354" s="1373"/>
      <c r="D354" s="1389"/>
      <c r="E354" s="1390"/>
      <c r="F354" s="1391"/>
      <c r="G354" s="1391"/>
      <c r="H354" s="1392"/>
      <c r="I354" s="1392"/>
    </row>
    <row r="355" spans="1:9" ht="15">
      <c r="A355" s="1366"/>
      <c r="B355" s="1388"/>
      <c r="C355" s="1373"/>
      <c r="D355" s="1389"/>
      <c r="E355" s="1390"/>
      <c r="F355" s="1391"/>
      <c r="G355" s="1391"/>
      <c r="H355" s="1392"/>
      <c r="I355" s="1392"/>
    </row>
    <row r="356" spans="1:9" ht="15">
      <c r="A356" s="1366"/>
      <c r="B356" s="1388"/>
      <c r="C356" s="1373"/>
      <c r="D356" s="1389"/>
      <c r="E356" s="1390"/>
      <c r="F356" s="1391"/>
      <c r="G356" s="1391"/>
      <c r="H356" s="1392"/>
      <c r="I356" s="1392"/>
    </row>
    <row r="357" spans="1:9" ht="15">
      <c r="A357" s="1366"/>
      <c r="B357" s="1388"/>
      <c r="C357" s="1373"/>
      <c r="D357" s="1389"/>
      <c r="E357" s="1390"/>
      <c r="F357" s="1391"/>
      <c r="G357" s="1391"/>
      <c r="H357" s="1392"/>
      <c r="I357" s="1392"/>
    </row>
    <row r="358" spans="1:9" ht="15">
      <c r="A358" s="1366"/>
      <c r="B358" s="1388"/>
      <c r="C358" s="1373"/>
      <c r="D358" s="1389"/>
      <c r="E358" s="1390"/>
      <c r="F358" s="1391"/>
      <c r="G358" s="1391"/>
      <c r="H358" s="1392"/>
      <c r="I358" s="1392"/>
    </row>
    <row r="359" spans="1:9" ht="15">
      <c r="A359" s="1366"/>
      <c r="B359" s="1388"/>
      <c r="C359" s="1373"/>
      <c r="D359" s="1389"/>
      <c r="E359" s="1390"/>
      <c r="F359" s="1391"/>
      <c r="G359" s="1391"/>
      <c r="H359" s="1392"/>
      <c r="I359" s="1392"/>
    </row>
    <row r="360" spans="1:9" ht="15">
      <c r="A360" s="1366"/>
      <c r="B360" s="1388"/>
      <c r="C360" s="1373"/>
      <c r="D360" s="1389"/>
      <c r="E360" s="1390"/>
      <c r="F360" s="1391"/>
      <c r="G360" s="1391"/>
      <c r="H360" s="1392"/>
      <c r="I360" s="1392"/>
    </row>
    <row r="361" spans="1:9" ht="15">
      <c r="A361" s="1366"/>
      <c r="B361" s="1388"/>
      <c r="C361" s="1373"/>
      <c r="D361" s="1389"/>
      <c r="E361" s="1390"/>
      <c r="F361" s="1391"/>
      <c r="G361" s="1391"/>
      <c r="H361" s="1392"/>
      <c r="I361" s="1392"/>
    </row>
    <row r="362" spans="1:9" ht="15">
      <c r="A362" s="1366"/>
      <c r="B362" s="1388"/>
      <c r="C362" s="1373"/>
      <c r="D362" s="1389"/>
      <c r="E362" s="1390"/>
      <c r="F362" s="1391"/>
      <c r="G362" s="1391"/>
      <c r="H362" s="1392"/>
      <c r="I362" s="1392"/>
    </row>
    <row r="363" spans="1:9" ht="15">
      <c r="A363" s="1366"/>
      <c r="B363" s="1388"/>
      <c r="C363" s="1373"/>
      <c r="D363" s="1389"/>
      <c r="E363" s="1390"/>
      <c r="F363" s="1391"/>
      <c r="G363" s="1391"/>
      <c r="H363" s="1392"/>
      <c r="I363" s="1392"/>
    </row>
    <row r="364" spans="1:9" ht="15">
      <c r="A364" s="1366"/>
      <c r="B364" s="1388"/>
      <c r="C364" s="1373"/>
      <c r="D364" s="1389"/>
      <c r="E364" s="1390"/>
      <c r="F364" s="1391"/>
      <c r="G364" s="1391"/>
      <c r="H364" s="1392"/>
      <c r="I364" s="1392"/>
    </row>
    <row r="365" spans="1:9" ht="15">
      <c r="A365" s="1366"/>
      <c r="B365" s="1388"/>
      <c r="C365" s="1373"/>
      <c r="D365" s="1389"/>
      <c r="E365" s="1390"/>
      <c r="F365" s="1391"/>
      <c r="G365" s="1391"/>
      <c r="H365" s="1392"/>
      <c r="I365" s="1392"/>
    </row>
    <row r="366" spans="1:9" ht="15">
      <c r="A366" s="1366"/>
      <c r="B366" s="1388"/>
      <c r="C366" s="1373"/>
      <c r="D366" s="1389"/>
      <c r="E366" s="1390"/>
      <c r="F366" s="1391"/>
      <c r="G366" s="1391"/>
      <c r="H366" s="1392"/>
      <c r="I366" s="1392"/>
    </row>
    <row r="367" spans="1:9" ht="15">
      <c r="A367" s="1366"/>
      <c r="B367" s="1388"/>
      <c r="C367" s="1373"/>
      <c r="D367" s="1389"/>
      <c r="E367" s="1390"/>
      <c r="F367" s="1391"/>
      <c r="G367" s="1391"/>
      <c r="H367" s="1392"/>
      <c r="I367" s="1392"/>
    </row>
    <row r="368" spans="1:9" ht="15">
      <c r="A368" s="1366"/>
      <c r="B368" s="1388"/>
      <c r="C368" s="1373"/>
      <c r="D368" s="1389"/>
      <c r="E368" s="1390"/>
      <c r="F368" s="1391"/>
      <c r="G368" s="1391"/>
      <c r="H368" s="1392"/>
      <c r="I368" s="1392"/>
    </row>
    <row r="369" spans="1:9" ht="15">
      <c r="A369" s="1366"/>
      <c r="B369" s="1388"/>
      <c r="C369" s="1373"/>
      <c r="D369" s="1389"/>
      <c r="E369" s="1390"/>
      <c r="F369" s="1391"/>
      <c r="G369" s="1391"/>
      <c r="H369" s="1392"/>
      <c r="I369" s="1392"/>
    </row>
    <row r="370" spans="1:9" ht="15">
      <c r="A370" s="1366"/>
      <c r="B370" s="1388"/>
      <c r="C370" s="1373"/>
      <c r="D370" s="1389"/>
      <c r="E370" s="1390"/>
      <c r="F370" s="1391"/>
      <c r="G370" s="1391"/>
      <c r="H370" s="1392"/>
      <c r="I370" s="1392"/>
    </row>
    <row r="371" spans="1:9" ht="15">
      <c r="A371" s="1366"/>
      <c r="B371" s="1388"/>
      <c r="C371" s="1373"/>
      <c r="D371" s="1389"/>
      <c r="E371" s="1390"/>
      <c r="F371" s="1391"/>
      <c r="G371" s="1391"/>
      <c r="H371" s="1392"/>
      <c r="I371" s="1392"/>
    </row>
    <row r="372" spans="1:9" ht="15">
      <c r="A372" s="1366"/>
      <c r="B372" s="1388"/>
      <c r="C372" s="1373"/>
      <c r="D372" s="1389"/>
      <c r="E372" s="1390"/>
      <c r="F372" s="1391"/>
      <c r="G372" s="1391"/>
      <c r="H372" s="1392"/>
      <c r="I372" s="1392"/>
    </row>
    <row r="373" spans="1:9" ht="15">
      <c r="A373" s="1366"/>
      <c r="B373" s="1388"/>
      <c r="C373" s="1373"/>
      <c r="D373" s="1389"/>
      <c r="E373" s="1390"/>
      <c r="F373" s="1391"/>
      <c r="G373" s="1391"/>
      <c r="H373" s="1392"/>
      <c r="I373" s="1392"/>
    </row>
    <row r="374" spans="1:9" ht="15">
      <c r="A374" s="1366"/>
      <c r="B374" s="1388"/>
      <c r="C374" s="1373"/>
      <c r="D374" s="1389"/>
      <c r="E374" s="1390"/>
      <c r="F374" s="1391"/>
      <c r="G374" s="1391"/>
      <c r="H374" s="1392"/>
      <c r="I374" s="1392"/>
    </row>
    <row r="375" spans="1:9" ht="15">
      <c r="A375" s="1366"/>
      <c r="B375" s="1388"/>
      <c r="C375" s="1373"/>
      <c r="D375" s="1389"/>
      <c r="E375" s="1390"/>
      <c r="F375" s="1391"/>
      <c r="G375" s="1391"/>
      <c r="H375" s="1392"/>
      <c r="I375" s="1392"/>
    </row>
    <row r="376" spans="1:9" ht="15">
      <c r="A376" s="1366"/>
      <c r="B376" s="1388"/>
      <c r="C376" s="1373"/>
      <c r="D376" s="1389"/>
      <c r="E376" s="1390"/>
      <c r="F376" s="1391"/>
      <c r="G376" s="1391"/>
      <c r="H376" s="1392"/>
      <c r="I376" s="1392"/>
    </row>
    <row r="377" spans="1:9" ht="15">
      <c r="A377" s="1366"/>
      <c r="B377" s="1388"/>
      <c r="C377" s="1373"/>
      <c r="D377" s="1389"/>
      <c r="E377" s="1390"/>
      <c r="F377" s="1391"/>
      <c r="G377" s="1391"/>
      <c r="H377" s="1392"/>
      <c r="I377" s="1392"/>
    </row>
    <row r="378" spans="1:9" ht="15">
      <c r="A378" s="1366"/>
      <c r="B378" s="1388"/>
      <c r="C378" s="1373"/>
      <c r="D378" s="1389"/>
      <c r="E378" s="1390"/>
      <c r="F378" s="1391"/>
      <c r="G378" s="1391"/>
      <c r="H378" s="1392"/>
      <c r="I378" s="1392"/>
    </row>
    <row r="379" spans="1:9" ht="15">
      <c r="A379" s="1366"/>
      <c r="B379" s="1388"/>
      <c r="C379" s="1373"/>
      <c r="D379" s="1389"/>
      <c r="E379" s="1390"/>
      <c r="F379" s="1391"/>
      <c r="G379" s="1391"/>
      <c r="H379" s="1392"/>
      <c r="I379" s="1392"/>
    </row>
    <row r="380" spans="1:9" ht="15">
      <c r="A380" s="1366"/>
      <c r="B380" s="1388"/>
      <c r="C380" s="1373"/>
      <c r="D380" s="1389"/>
      <c r="E380" s="1390"/>
      <c r="F380" s="1391"/>
      <c r="G380" s="1391"/>
      <c r="H380" s="1392"/>
      <c r="I380" s="1392"/>
    </row>
    <row r="381" spans="1:9" ht="15">
      <c r="A381" s="1366"/>
      <c r="B381" s="1388"/>
      <c r="C381" s="1373"/>
      <c r="D381" s="1389"/>
      <c r="E381" s="1390"/>
      <c r="F381" s="1391"/>
      <c r="G381" s="1391"/>
      <c r="H381" s="1392"/>
      <c r="I381" s="1392"/>
    </row>
    <row r="382" spans="1:9" ht="15">
      <c r="A382" s="1366"/>
      <c r="B382" s="1388"/>
      <c r="C382" s="1373"/>
      <c r="D382" s="1389"/>
      <c r="E382" s="1390"/>
      <c r="F382" s="1391"/>
      <c r="G382" s="1391"/>
      <c r="H382" s="1392"/>
      <c r="I382" s="1392"/>
    </row>
    <row r="383" spans="1:9" ht="15">
      <c r="A383" s="1366"/>
      <c r="B383" s="1388"/>
      <c r="C383" s="1373"/>
      <c r="D383" s="1389"/>
      <c r="E383" s="1390"/>
      <c r="F383" s="1391"/>
      <c r="G383" s="1391"/>
      <c r="H383" s="1392"/>
      <c r="I383" s="1392"/>
    </row>
    <row r="384" spans="1:9" ht="15">
      <c r="A384" s="1366"/>
      <c r="B384" s="1388"/>
      <c r="C384" s="1373"/>
      <c r="D384" s="1389"/>
      <c r="E384" s="1390"/>
      <c r="F384" s="1391"/>
      <c r="G384" s="1391"/>
      <c r="H384" s="1392"/>
      <c r="I384" s="1392"/>
    </row>
    <row r="385" spans="1:9" ht="15">
      <c r="A385" s="1366"/>
      <c r="B385" s="1388"/>
      <c r="C385" s="1373"/>
      <c r="D385" s="1389"/>
      <c r="E385" s="1390"/>
      <c r="F385" s="1391"/>
      <c r="G385" s="1391"/>
      <c r="H385" s="1392"/>
      <c r="I385" s="1392"/>
    </row>
    <row r="386" spans="1:9" ht="15">
      <c r="A386" s="1366"/>
      <c r="B386" s="1388"/>
      <c r="C386" s="1373"/>
      <c r="D386" s="1389"/>
      <c r="E386" s="1390"/>
      <c r="F386" s="1391"/>
      <c r="G386" s="1391"/>
      <c r="H386" s="1392"/>
      <c r="I386" s="1392"/>
    </row>
    <row r="387" spans="1:9" ht="15">
      <c r="A387" s="1366"/>
      <c r="B387" s="1388"/>
      <c r="C387" s="1373"/>
      <c r="D387" s="1389"/>
      <c r="E387" s="1390"/>
      <c r="F387" s="1391"/>
      <c r="G387" s="1391"/>
      <c r="H387" s="1392"/>
      <c r="I387" s="1392"/>
    </row>
    <row r="388" spans="1:9" ht="15">
      <c r="A388" s="1366"/>
      <c r="B388" s="1388"/>
      <c r="C388" s="1373"/>
      <c r="D388" s="1389"/>
      <c r="E388" s="1390"/>
      <c r="F388" s="1391"/>
      <c r="G388" s="1391"/>
      <c r="H388" s="1392"/>
      <c r="I388" s="1392"/>
    </row>
    <row r="389" spans="1:9" ht="15">
      <c r="A389" s="1366"/>
      <c r="B389" s="1388"/>
      <c r="C389" s="1373"/>
      <c r="D389" s="1389"/>
      <c r="E389" s="1390"/>
      <c r="F389" s="1391"/>
      <c r="G389" s="1391"/>
      <c r="H389" s="1392"/>
      <c r="I389" s="1392"/>
    </row>
    <row r="390" spans="1:9" ht="15">
      <c r="A390" s="1366"/>
      <c r="B390" s="1388"/>
      <c r="C390" s="1373"/>
      <c r="D390" s="1389"/>
      <c r="E390" s="1390"/>
      <c r="F390" s="1391"/>
      <c r="G390" s="1391"/>
      <c r="H390" s="1392"/>
      <c r="I390" s="1392"/>
    </row>
    <row r="391" spans="1:9" ht="15">
      <c r="A391" s="1366"/>
      <c r="B391" s="1388"/>
      <c r="C391" s="1373"/>
      <c r="D391" s="1389"/>
      <c r="E391" s="1390"/>
      <c r="F391" s="1391"/>
      <c r="G391" s="1391"/>
      <c r="H391" s="1392"/>
      <c r="I391" s="1392"/>
    </row>
    <row r="392" spans="1:9" ht="15">
      <c r="A392" s="1366"/>
      <c r="B392" s="1388"/>
      <c r="C392" s="1373"/>
      <c r="D392" s="1389"/>
      <c r="E392" s="1390"/>
      <c r="F392" s="1391"/>
      <c r="G392" s="1391"/>
      <c r="H392" s="1392"/>
      <c r="I392" s="1392"/>
    </row>
    <row r="393" spans="1:9" ht="15">
      <c r="A393" s="1366"/>
      <c r="B393" s="1388"/>
      <c r="C393" s="1373"/>
      <c r="D393" s="1389"/>
      <c r="E393" s="1390"/>
      <c r="F393" s="1391"/>
      <c r="G393" s="1391"/>
      <c r="H393" s="1392"/>
      <c r="I393" s="1392"/>
    </row>
    <row r="394" spans="1:9" ht="15">
      <c r="A394" s="1366"/>
      <c r="B394" s="1388"/>
      <c r="C394" s="1373"/>
      <c r="D394" s="1389"/>
      <c r="E394" s="1390"/>
      <c r="F394" s="1391"/>
      <c r="G394" s="1391"/>
      <c r="H394" s="1392"/>
      <c r="I394" s="1392"/>
    </row>
    <row r="395" spans="1:9" ht="15">
      <c r="A395" s="1366"/>
      <c r="B395" s="1388"/>
      <c r="C395" s="1373"/>
      <c r="D395" s="1389"/>
      <c r="E395" s="1390"/>
      <c r="F395" s="1391"/>
      <c r="G395" s="1391"/>
      <c r="H395" s="1392"/>
      <c r="I395" s="1392"/>
    </row>
    <row r="396" spans="1:9" ht="15">
      <c r="A396" s="1366"/>
      <c r="B396" s="1388"/>
      <c r="C396" s="1373"/>
      <c r="D396" s="1389"/>
      <c r="E396" s="1390"/>
      <c r="F396" s="1391"/>
      <c r="G396" s="1391"/>
      <c r="H396" s="1392"/>
      <c r="I396" s="1392"/>
    </row>
    <row r="397" spans="1:9" ht="15">
      <c r="A397" s="1366"/>
      <c r="B397" s="1388"/>
      <c r="C397" s="1373"/>
      <c r="D397" s="1389"/>
      <c r="E397" s="1390"/>
      <c r="F397" s="1391"/>
      <c r="G397" s="1391"/>
      <c r="H397" s="1392"/>
      <c r="I397" s="1392"/>
    </row>
    <row r="398" spans="1:9" ht="15">
      <c r="A398" s="1366"/>
      <c r="B398" s="1388"/>
      <c r="C398" s="1373"/>
      <c r="D398" s="1389"/>
      <c r="E398" s="1390"/>
      <c r="F398" s="1391"/>
      <c r="G398" s="1391"/>
      <c r="H398" s="1392"/>
      <c r="I398" s="1392"/>
    </row>
    <row r="399" spans="1:9" ht="15">
      <c r="A399" s="1366"/>
      <c r="B399" s="1388"/>
      <c r="C399" s="1373"/>
      <c r="D399" s="1389"/>
      <c r="E399" s="1390"/>
      <c r="F399" s="1391"/>
      <c r="G399" s="1391"/>
      <c r="H399" s="1392"/>
      <c r="I399" s="1392"/>
    </row>
    <row r="400" spans="1:9" ht="15">
      <c r="A400" s="1366"/>
      <c r="B400" s="1388"/>
      <c r="C400" s="1373"/>
      <c r="D400" s="1389"/>
      <c r="E400" s="1390"/>
      <c r="F400" s="1391"/>
      <c r="G400" s="1391"/>
      <c r="H400" s="1392"/>
      <c r="I400" s="1392"/>
    </row>
    <row r="401" spans="1:9" ht="15">
      <c r="A401" s="1366"/>
      <c r="B401" s="1388"/>
      <c r="C401" s="1373"/>
      <c r="D401" s="1389"/>
      <c r="E401" s="1390"/>
      <c r="F401" s="1391"/>
      <c r="G401" s="1391"/>
      <c r="H401" s="1392"/>
      <c r="I401" s="1392"/>
    </row>
    <row r="402" spans="1:9" ht="15">
      <c r="A402" s="1366"/>
      <c r="B402" s="1388"/>
      <c r="C402" s="1373"/>
      <c r="D402" s="1389"/>
      <c r="E402" s="1390"/>
      <c r="F402" s="1391"/>
      <c r="G402" s="1391"/>
      <c r="H402" s="1392"/>
      <c r="I402" s="1392"/>
    </row>
    <row r="403" spans="1:9" ht="15">
      <c r="A403" s="1366"/>
      <c r="B403" s="1388"/>
      <c r="C403" s="1373"/>
      <c r="D403" s="1389"/>
      <c r="E403" s="1390"/>
      <c r="F403" s="1391"/>
      <c r="G403" s="1391"/>
      <c r="H403" s="1392"/>
      <c r="I403" s="1392"/>
    </row>
    <row r="404" spans="1:9" ht="15">
      <c r="A404" s="1366"/>
      <c r="B404" s="1388"/>
      <c r="C404" s="1373"/>
      <c r="D404" s="1389"/>
      <c r="E404" s="1390"/>
      <c r="F404" s="1391"/>
      <c r="G404" s="1391"/>
      <c r="H404" s="1392"/>
      <c r="I404" s="1392"/>
    </row>
    <row r="405" spans="1:9" ht="15">
      <c r="A405" s="1366"/>
      <c r="B405" s="1388"/>
      <c r="C405" s="1373"/>
      <c r="D405" s="1389"/>
      <c r="E405" s="1390"/>
      <c r="F405" s="1391"/>
      <c r="G405" s="1391"/>
      <c r="H405" s="1392"/>
      <c r="I405" s="1392"/>
    </row>
    <row r="406" spans="1:9" ht="15">
      <c r="A406" s="1366"/>
      <c r="B406" s="1388"/>
      <c r="C406" s="1373"/>
      <c r="D406" s="1389"/>
      <c r="E406" s="1390"/>
      <c r="F406" s="1391"/>
      <c r="G406" s="1391"/>
      <c r="H406" s="1392"/>
      <c r="I406" s="1392"/>
    </row>
    <row r="407" spans="1:9" ht="15">
      <c r="A407" s="1366"/>
      <c r="B407" s="1388"/>
      <c r="C407" s="1373"/>
      <c r="D407" s="1389"/>
      <c r="E407" s="1390"/>
      <c r="F407" s="1391"/>
      <c r="G407" s="1391"/>
      <c r="H407" s="1392"/>
      <c r="I407" s="1392"/>
    </row>
    <row r="408" spans="1:9" ht="15">
      <c r="A408" s="1366"/>
      <c r="B408" s="1388"/>
      <c r="C408" s="1373"/>
      <c r="D408" s="1389"/>
      <c r="E408" s="1390"/>
      <c r="F408" s="1391"/>
      <c r="G408" s="1391"/>
      <c r="H408" s="1392"/>
      <c r="I408" s="1392"/>
    </row>
    <row r="409" spans="1:9" ht="15">
      <c r="A409" s="1366"/>
      <c r="B409" s="1388"/>
      <c r="C409" s="1373"/>
      <c r="D409" s="1389"/>
      <c r="E409" s="1390"/>
      <c r="F409" s="1391"/>
      <c r="G409" s="1391"/>
      <c r="H409" s="1392"/>
      <c r="I409" s="1392"/>
    </row>
    <row r="410" spans="1:9" ht="15">
      <c r="A410" s="1366"/>
      <c r="B410" s="1388"/>
      <c r="C410" s="1373"/>
      <c r="D410" s="1389"/>
      <c r="E410" s="1390"/>
      <c r="F410" s="1391"/>
      <c r="G410" s="1391"/>
      <c r="H410" s="1392"/>
      <c r="I410" s="1392"/>
    </row>
    <row r="411" spans="1:9" ht="15">
      <c r="A411" s="1366"/>
      <c r="B411" s="1388"/>
      <c r="C411" s="1373"/>
      <c r="D411" s="1389"/>
      <c r="E411" s="1390"/>
      <c r="F411" s="1391"/>
      <c r="G411" s="1391"/>
      <c r="H411" s="1392"/>
      <c r="I411" s="1392"/>
    </row>
    <row r="412" spans="1:9" ht="15">
      <c r="A412" s="1366"/>
      <c r="B412" s="1388"/>
      <c r="C412" s="1373"/>
      <c r="D412" s="1389"/>
      <c r="E412" s="1390"/>
      <c r="F412" s="1391"/>
      <c r="G412" s="1391"/>
      <c r="H412" s="1392"/>
      <c r="I412" s="1392"/>
    </row>
    <row r="413" spans="1:9" ht="15">
      <c r="A413" s="1366"/>
      <c r="B413" s="1388"/>
      <c r="C413" s="1373"/>
      <c r="D413" s="1389"/>
      <c r="E413" s="1390"/>
      <c r="F413" s="1391"/>
      <c r="G413" s="1391"/>
      <c r="H413" s="1392"/>
      <c r="I413" s="1392"/>
    </row>
    <row r="414" spans="1:9" ht="15">
      <c r="A414" s="1366"/>
      <c r="B414" s="1388"/>
      <c r="C414" s="1373"/>
      <c r="D414" s="1389"/>
      <c r="E414" s="1390"/>
      <c r="F414" s="1391"/>
      <c r="G414" s="1391"/>
      <c r="H414" s="1392"/>
      <c r="I414" s="1392"/>
    </row>
    <row r="415" spans="1:9" ht="15">
      <c r="A415" s="1366"/>
      <c r="B415" s="1388"/>
      <c r="C415" s="1373"/>
      <c r="D415" s="1389"/>
      <c r="E415" s="1390"/>
      <c r="F415" s="1391"/>
      <c r="G415" s="1391"/>
      <c r="H415" s="1392"/>
      <c r="I415" s="1392"/>
    </row>
    <row r="416" spans="1:9" ht="15">
      <c r="A416" s="1366"/>
      <c r="B416" s="1388"/>
      <c r="C416" s="1373"/>
      <c r="D416" s="1389"/>
      <c r="E416" s="1390"/>
      <c r="F416" s="1391"/>
      <c r="G416" s="1391"/>
      <c r="H416" s="1392"/>
      <c r="I416" s="1392"/>
    </row>
    <row r="417" spans="1:9" ht="15">
      <c r="A417" s="1366"/>
      <c r="B417" s="1388"/>
      <c r="C417" s="1373"/>
      <c r="D417" s="1389"/>
      <c r="E417" s="1390"/>
      <c r="F417" s="1391"/>
      <c r="G417" s="1391"/>
      <c r="H417" s="1392"/>
      <c r="I417" s="1392"/>
    </row>
    <row r="418" spans="1:9" ht="15">
      <c r="A418" s="1366"/>
      <c r="B418" s="1388"/>
      <c r="C418" s="1373"/>
      <c r="D418" s="1389"/>
      <c r="E418" s="1390"/>
      <c r="F418" s="1391"/>
      <c r="G418" s="1391"/>
      <c r="H418" s="1392"/>
      <c r="I418" s="1392"/>
    </row>
    <row r="419" spans="1:9" ht="15">
      <c r="A419" s="1366"/>
      <c r="B419" s="1388"/>
      <c r="C419" s="1373"/>
      <c r="D419" s="1389"/>
      <c r="E419" s="1390"/>
      <c r="F419" s="1391"/>
      <c r="G419" s="1391"/>
      <c r="H419" s="1392"/>
      <c r="I419" s="1392"/>
    </row>
    <row r="420" spans="1:9" ht="15">
      <c r="A420" s="1366"/>
      <c r="B420" s="1388"/>
      <c r="C420" s="1373"/>
      <c r="D420" s="1389"/>
      <c r="E420" s="1390"/>
      <c r="F420" s="1391"/>
      <c r="G420" s="1391"/>
      <c r="H420" s="1392"/>
      <c r="I420" s="1392"/>
    </row>
    <row r="421" spans="1:9" ht="15">
      <c r="A421" s="1366"/>
      <c r="B421" s="1388"/>
      <c r="C421" s="1373"/>
      <c r="D421" s="1389"/>
      <c r="E421" s="1390"/>
      <c r="F421" s="1391"/>
      <c r="G421" s="1391"/>
      <c r="H421" s="1392"/>
      <c r="I421" s="1392"/>
    </row>
    <row r="422" spans="1:9" ht="15">
      <c r="A422" s="1366"/>
      <c r="B422" s="1388"/>
      <c r="C422" s="1373"/>
      <c r="D422" s="1389"/>
      <c r="E422" s="1390"/>
      <c r="F422" s="1391"/>
      <c r="G422" s="1391"/>
      <c r="H422" s="1392"/>
      <c r="I422" s="1392"/>
    </row>
    <row r="423" spans="1:9" ht="15">
      <c r="A423" s="1366"/>
      <c r="B423" s="1388"/>
      <c r="C423" s="1373"/>
      <c r="D423" s="1389"/>
      <c r="E423" s="1390"/>
      <c r="F423" s="1391"/>
      <c r="G423" s="1391"/>
      <c r="H423" s="1392"/>
      <c r="I423" s="1392"/>
    </row>
    <row r="424" spans="1:9" ht="15">
      <c r="A424" s="1366"/>
      <c r="B424" s="1388"/>
      <c r="C424" s="1373"/>
      <c r="D424" s="1389"/>
      <c r="E424" s="1390"/>
      <c r="F424" s="1391"/>
      <c r="G424" s="1391"/>
      <c r="H424" s="1392"/>
      <c r="I424" s="1392"/>
    </row>
    <row r="425" spans="1:9" ht="15">
      <c r="A425" s="1366"/>
      <c r="B425" s="1388"/>
      <c r="C425" s="1373"/>
      <c r="D425" s="1389"/>
      <c r="E425" s="1390"/>
      <c r="F425" s="1391"/>
      <c r="G425" s="1391"/>
      <c r="H425" s="1392"/>
      <c r="I425" s="1392"/>
    </row>
    <row r="426" spans="1:9" ht="15">
      <c r="A426" s="1366"/>
      <c r="B426" s="1388"/>
      <c r="C426" s="1373"/>
      <c r="D426" s="1389"/>
      <c r="E426" s="1390"/>
      <c r="F426" s="1391"/>
      <c r="G426" s="1391"/>
      <c r="H426" s="1392"/>
      <c r="I426" s="1392"/>
    </row>
    <row r="427" spans="1:9" ht="15">
      <c r="A427" s="1366"/>
      <c r="B427" s="1388"/>
      <c r="C427" s="1373"/>
      <c r="D427" s="1389"/>
      <c r="E427" s="1390"/>
      <c r="F427" s="1391"/>
      <c r="G427" s="1391"/>
      <c r="H427" s="1392"/>
      <c r="I427" s="1392"/>
    </row>
    <row r="428" spans="1:9" ht="15">
      <c r="A428" s="1366"/>
      <c r="B428" s="1388"/>
      <c r="C428" s="1373"/>
      <c r="D428" s="1389"/>
      <c r="E428" s="1390"/>
      <c r="F428" s="1391"/>
      <c r="G428" s="1391"/>
      <c r="H428" s="1392"/>
      <c r="I428" s="1392"/>
    </row>
    <row r="429" spans="1:9" ht="15">
      <c r="A429" s="1366"/>
      <c r="B429" s="1388"/>
      <c r="C429" s="1373"/>
      <c r="D429" s="1389"/>
      <c r="E429" s="1390"/>
      <c r="F429" s="1391"/>
      <c r="G429" s="1391"/>
      <c r="H429" s="1392"/>
      <c r="I429" s="1392"/>
    </row>
    <row r="430" spans="1:9" ht="15">
      <c r="A430" s="1366"/>
      <c r="B430" s="1388"/>
      <c r="C430" s="1373"/>
      <c r="D430" s="1389"/>
      <c r="E430" s="1390"/>
      <c r="F430" s="1391"/>
      <c r="G430" s="1391"/>
      <c r="H430" s="1392"/>
      <c r="I430" s="1392"/>
    </row>
    <row r="431" spans="1:9" ht="15">
      <c r="A431" s="1366"/>
      <c r="B431" s="1388"/>
      <c r="C431" s="1373"/>
      <c r="D431" s="1389"/>
      <c r="E431" s="1390"/>
      <c r="F431" s="1391"/>
      <c r="G431" s="1391"/>
      <c r="H431" s="1392"/>
      <c r="I431" s="1392"/>
    </row>
    <row r="432" spans="1:9" ht="15">
      <c r="A432" s="1366"/>
      <c r="B432" s="1388"/>
      <c r="C432" s="1373"/>
      <c r="D432" s="1389"/>
      <c r="E432" s="1390"/>
      <c r="F432" s="1391"/>
      <c r="G432" s="1391"/>
      <c r="H432" s="1392"/>
      <c r="I432" s="1392"/>
    </row>
    <row r="433" spans="1:9" ht="15">
      <c r="A433" s="1366"/>
      <c r="B433" s="1388"/>
      <c r="C433" s="1373"/>
      <c r="D433" s="1389"/>
      <c r="E433" s="1390"/>
      <c r="F433" s="1391"/>
      <c r="G433" s="1391"/>
      <c r="H433" s="1392"/>
      <c r="I433" s="1392"/>
    </row>
    <row r="434" spans="1:9" ht="15">
      <c r="A434" s="1366"/>
      <c r="B434" s="1388"/>
      <c r="C434" s="1373"/>
      <c r="D434" s="1389"/>
      <c r="E434" s="1390"/>
      <c r="F434" s="1391"/>
      <c r="G434" s="1391"/>
      <c r="H434" s="1392"/>
      <c r="I434" s="1392"/>
    </row>
    <row r="435" spans="1:9" ht="15">
      <c r="A435" s="1366"/>
      <c r="B435" s="1388"/>
      <c r="C435" s="1373"/>
      <c r="D435" s="1389"/>
      <c r="E435" s="1390"/>
      <c r="F435" s="1391"/>
      <c r="G435" s="1391"/>
      <c r="H435" s="1392"/>
      <c r="I435" s="1392"/>
    </row>
    <row r="436" spans="1:9" ht="15">
      <c r="A436" s="1366"/>
      <c r="B436" s="1388"/>
      <c r="C436" s="1373"/>
      <c r="D436" s="1389"/>
      <c r="E436" s="1390"/>
      <c r="F436" s="1391"/>
      <c r="G436" s="1391"/>
      <c r="H436" s="1392"/>
      <c r="I436" s="1392"/>
    </row>
    <row r="437" spans="1:9" ht="15">
      <c r="A437" s="1366"/>
      <c r="B437" s="1388"/>
      <c r="C437" s="1373"/>
      <c r="D437" s="1389"/>
      <c r="E437" s="1390"/>
      <c r="F437" s="1391"/>
      <c r="G437" s="1391"/>
      <c r="H437" s="1392"/>
      <c r="I437" s="1392"/>
    </row>
    <row r="438" spans="1:9" ht="15">
      <c r="A438" s="1366"/>
      <c r="B438" s="1388"/>
      <c r="C438" s="1373"/>
      <c r="D438" s="1389"/>
      <c r="E438" s="1390"/>
      <c r="F438" s="1391"/>
      <c r="G438" s="1391"/>
      <c r="H438" s="1392"/>
      <c r="I438" s="1392"/>
    </row>
    <row r="439" spans="1:9" ht="15">
      <c r="A439" s="1366"/>
      <c r="B439" s="1388"/>
      <c r="C439" s="1373"/>
      <c r="D439" s="1389"/>
      <c r="E439" s="1390"/>
      <c r="F439" s="1391"/>
      <c r="G439" s="1391"/>
      <c r="H439" s="1392"/>
      <c r="I439" s="1392"/>
    </row>
    <row r="440" spans="1:9" ht="15">
      <c r="A440" s="1366"/>
      <c r="B440" s="1388"/>
      <c r="C440" s="1373"/>
      <c r="D440" s="1389"/>
      <c r="E440" s="1390"/>
      <c r="F440" s="1391"/>
      <c r="G440" s="1391"/>
      <c r="H440" s="1392"/>
      <c r="I440" s="1392"/>
    </row>
    <row r="441" spans="1:9" ht="15">
      <c r="A441" s="1366"/>
      <c r="B441" s="1388"/>
      <c r="C441" s="1373"/>
      <c r="D441" s="1389"/>
      <c r="E441" s="1390"/>
      <c r="F441" s="1391"/>
      <c r="G441" s="1391"/>
      <c r="H441" s="1392"/>
      <c r="I441" s="1392"/>
    </row>
    <row r="442" spans="1:9" ht="15">
      <c r="A442" s="1366"/>
      <c r="B442" s="1388"/>
      <c r="C442" s="1373"/>
      <c r="D442" s="1389"/>
      <c r="E442" s="1390"/>
      <c r="F442" s="1391"/>
      <c r="G442" s="1391"/>
      <c r="H442" s="1392"/>
      <c r="I442" s="1392"/>
    </row>
    <row r="443" spans="1:9" ht="15">
      <c r="A443" s="1366"/>
      <c r="B443" s="1388"/>
      <c r="C443" s="1373"/>
      <c r="D443" s="1389"/>
      <c r="E443" s="1390"/>
      <c r="F443" s="1391"/>
      <c r="G443" s="1391"/>
      <c r="H443" s="1392"/>
      <c r="I443" s="1392"/>
    </row>
    <row r="444" spans="1:9" ht="15">
      <c r="A444" s="1366"/>
      <c r="B444" s="1388"/>
      <c r="C444" s="1373"/>
      <c r="D444" s="1389"/>
      <c r="E444" s="1390"/>
      <c r="F444" s="1391"/>
      <c r="G444" s="1391"/>
      <c r="H444" s="1392"/>
      <c r="I444" s="1392"/>
    </row>
    <row r="445" spans="1:9" ht="15">
      <c r="A445" s="1366"/>
      <c r="B445" s="1388"/>
      <c r="C445" s="1373"/>
      <c r="D445" s="1389"/>
      <c r="E445" s="1390"/>
      <c r="F445" s="1391"/>
      <c r="G445" s="1391"/>
      <c r="H445" s="1392"/>
      <c r="I445" s="1392"/>
    </row>
    <row r="446" spans="1:9" ht="15">
      <c r="A446" s="1366"/>
      <c r="B446" s="1388"/>
      <c r="C446" s="1373"/>
      <c r="D446" s="1389"/>
      <c r="E446" s="1390"/>
      <c r="F446" s="1391"/>
      <c r="G446" s="1391"/>
      <c r="H446" s="1392"/>
      <c r="I446" s="1392"/>
    </row>
    <row r="447" spans="1:9" ht="15">
      <c r="A447" s="1366"/>
      <c r="B447" s="1388"/>
      <c r="C447" s="1373"/>
      <c r="D447" s="1389"/>
      <c r="E447" s="1390"/>
      <c r="F447" s="1391"/>
      <c r="G447" s="1391"/>
      <c r="H447" s="1392"/>
      <c r="I447" s="1392"/>
    </row>
    <row r="448" spans="1:9" ht="15">
      <c r="A448" s="1366"/>
      <c r="B448" s="1388"/>
      <c r="C448" s="1373"/>
      <c r="D448" s="1389"/>
      <c r="E448" s="1390"/>
      <c r="F448" s="1391"/>
      <c r="G448" s="1391"/>
      <c r="H448" s="1392"/>
      <c r="I448" s="1392"/>
    </row>
    <row r="449" spans="1:9" ht="15">
      <c r="A449" s="1366"/>
      <c r="B449" s="1388"/>
      <c r="C449" s="1373"/>
      <c r="D449" s="1389"/>
      <c r="E449" s="1390"/>
      <c r="F449" s="1391"/>
      <c r="G449" s="1391"/>
      <c r="H449" s="1392"/>
      <c r="I449" s="1392"/>
    </row>
    <row r="450" spans="1:9" ht="15">
      <c r="A450" s="1366"/>
      <c r="B450" s="1388"/>
      <c r="C450" s="1373"/>
      <c r="D450" s="1389"/>
      <c r="E450" s="1390"/>
      <c r="F450" s="1391"/>
      <c r="G450" s="1391"/>
      <c r="H450" s="1392"/>
      <c r="I450" s="1392"/>
    </row>
    <row r="451" spans="1:9" ht="15">
      <c r="A451" s="1366"/>
      <c r="B451" s="1388"/>
      <c r="C451" s="1373"/>
      <c r="D451" s="1389"/>
      <c r="E451" s="1390"/>
      <c r="F451" s="1391"/>
      <c r="G451" s="1391"/>
      <c r="H451" s="1392"/>
      <c r="I451" s="1392"/>
    </row>
    <row r="452" spans="1:9" ht="15">
      <c r="A452" s="1366"/>
      <c r="B452" s="1388"/>
      <c r="C452" s="1373"/>
      <c r="D452" s="1389"/>
      <c r="E452" s="1390"/>
      <c r="F452" s="1391"/>
      <c r="G452" s="1391"/>
      <c r="H452" s="1392"/>
      <c r="I452" s="1392"/>
    </row>
    <row r="453" spans="1:9" ht="15">
      <c r="A453" s="1366"/>
      <c r="B453" s="1388"/>
      <c r="C453" s="1373"/>
      <c r="D453" s="1389"/>
      <c r="E453" s="1390"/>
      <c r="F453" s="1391"/>
      <c r="G453" s="1391"/>
      <c r="H453" s="1392"/>
      <c r="I453" s="1392"/>
    </row>
    <row r="454" spans="1:9" ht="15">
      <c r="A454" s="1366"/>
      <c r="B454" s="1388"/>
      <c r="C454" s="1373"/>
      <c r="D454" s="1389"/>
      <c r="E454" s="1390"/>
      <c r="F454" s="1391"/>
      <c r="G454" s="1391"/>
      <c r="H454" s="1392"/>
      <c r="I454" s="1392"/>
    </row>
    <row r="455" spans="1:9" ht="15">
      <c r="A455" s="1366"/>
      <c r="B455" s="1388"/>
      <c r="C455" s="1373"/>
      <c r="D455" s="1389"/>
      <c r="E455" s="1390"/>
      <c r="F455" s="1391"/>
      <c r="G455" s="1391"/>
      <c r="H455" s="1392"/>
      <c r="I455" s="1392"/>
    </row>
    <row r="456" spans="1:9" ht="15">
      <c r="A456" s="1366"/>
      <c r="B456" s="1388"/>
      <c r="C456" s="1373"/>
      <c r="D456" s="1389"/>
      <c r="E456" s="1390"/>
      <c r="F456" s="1391"/>
      <c r="G456" s="1391"/>
      <c r="H456" s="1392"/>
      <c r="I456" s="1392"/>
    </row>
    <row r="457" spans="1:9" ht="15">
      <c r="A457" s="1366"/>
      <c r="B457" s="1388"/>
      <c r="C457" s="1373"/>
      <c r="D457" s="1389"/>
      <c r="E457" s="1390"/>
      <c r="F457" s="1391"/>
      <c r="G457" s="1391"/>
      <c r="H457" s="1392"/>
      <c r="I457" s="1392"/>
    </row>
    <row r="458" spans="1:9" ht="15">
      <c r="A458" s="1366"/>
      <c r="B458" s="1388"/>
      <c r="C458" s="1373"/>
      <c r="D458" s="1389"/>
      <c r="E458" s="1390"/>
      <c r="F458" s="1391"/>
      <c r="G458" s="1391"/>
      <c r="H458" s="1392"/>
      <c r="I458" s="1392"/>
    </row>
    <row r="459" spans="1:9" ht="15">
      <c r="A459" s="1366"/>
      <c r="B459" s="1388"/>
      <c r="C459" s="1373"/>
      <c r="D459" s="1389"/>
      <c r="E459" s="1390"/>
      <c r="F459" s="1391"/>
      <c r="G459" s="1391"/>
      <c r="H459" s="1392"/>
      <c r="I459" s="1392"/>
    </row>
    <row r="460" spans="1:9" ht="15">
      <c r="A460" s="1366"/>
      <c r="B460" s="1388"/>
      <c r="C460" s="1373"/>
      <c r="D460" s="1389"/>
      <c r="E460" s="1390"/>
      <c r="F460" s="1391"/>
      <c r="G460" s="1391"/>
      <c r="H460" s="1392"/>
      <c r="I460" s="1392"/>
    </row>
    <row r="461" spans="1:9" ht="15">
      <c r="A461" s="1366"/>
      <c r="B461" s="1388"/>
      <c r="C461" s="1373"/>
      <c r="D461" s="1389"/>
      <c r="E461" s="1390"/>
      <c r="F461" s="1391"/>
      <c r="G461" s="1391"/>
      <c r="H461" s="1392"/>
      <c r="I461" s="1392"/>
    </row>
    <row r="462" spans="1:9" ht="15">
      <c r="A462" s="1366"/>
      <c r="B462" s="1388"/>
      <c r="C462" s="1373"/>
      <c r="D462" s="1389"/>
      <c r="E462" s="1390"/>
      <c r="F462" s="1391"/>
      <c r="G462" s="1391"/>
      <c r="H462" s="1392"/>
      <c r="I462" s="1392"/>
    </row>
    <row r="463" spans="1:9" ht="15">
      <c r="A463" s="1366"/>
      <c r="B463" s="1388"/>
      <c r="C463" s="1373"/>
      <c r="D463" s="1389"/>
      <c r="E463" s="1390"/>
      <c r="F463" s="1391"/>
      <c r="G463" s="1391"/>
      <c r="H463" s="1392"/>
      <c r="I463" s="1392"/>
    </row>
    <row r="464" spans="1:9" ht="15">
      <c r="A464" s="1366"/>
      <c r="B464" s="1388"/>
      <c r="C464" s="1373"/>
      <c r="D464" s="1389"/>
      <c r="E464" s="1390"/>
      <c r="F464" s="1391"/>
      <c r="G464" s="1391"/>
      <c r="H464" s="1392"/>
      <c r="I464" s="1392"/>
    </row>
    <row r="465" spans="1:9" ht="15">
      <c r="A465" s="1366"/>
      <c r="B465" s="1388"/>
      <c r="C465" s="1373"/>
      <c r="D465" s="1389"/>
      <c r="E465" s="1390"/>
      <c r="F465" s="1391"/>
      <c r="G465" s="1391"/>
      <c r="H465" s="1392"/>
      <c r="I465" s="1392"/>
    </row>
    <row r="466" spans="1:9" ht="15">
      <c r="A466" s="1366"/>
      <c r="B466" s="1388"/>
      <c r="C466" s="1373"/>
      <c r="D466" s="1389"/>
      <c r="E466" s="1390"/>
      <c r="F466" s="1391"/>
      <c r="G466" s="1391"/>
      <c r="H466" s="1392"/>
      <c r="I466" s="1392"/>
    </row>
    <row r="467" spans="1:9" ht="15">
      <c r="A467" s="1366"/>
      <c r="B467" s="1388"/>
      <c r="C467" s="1373"/>
      <c r="D467" s="1389"/>
      <c r="E467" s="1390"/>
      <c r="F467" s="1391"/>
      <c r="G467" s="1391"/>
      <c r="H467" s="1392"/>
      <c r="I467" s="1392"/>
    </row>
    <row r="468" spans="1:9" ht="15">
      <c r="A468" s="1366"/>
      <c r="B468" s="1388"/>
      <c r="C468" s="1373"/>
      <c r="D468" s="1389"/>
      <c r="E468" s="1390"/>
      <c r="F468" s="1391"/>
      <c r="G468" s="1391"/>
      <c r="H468" s="1392"/>
      <c r="I468" s="1392"/>
    </row>
    <row r="469" spans="1:9" ht="15">
      <c r="A469" s="1366"/>
      <c r="B469" s="1388"/>
      <c r="C469" s="1373"/>
      <c r="D469" s="1389"/>
      <c r="E469" s="1390"/>
      <c r="F469" s="1391"/>
      <c r="G469" s="1391"/>
      <c r="H469" s="1392"/>
      <c r="I469" s="1392"/>
    </row>
    <row r="470" spans="1:9" ht="15">
      <c r="A470" s="1366"/>
      <c r="B470" s="1388"/>
      <c r="C470" s="1373"/>
      <c r="D470" s="1389"/>
      <c r="E470" s="1390"/>
      <c r="F470" s="1391"/>
      <c r="G470" s="1391"/>
      <c r="H470" s="1392"/>
      <c r="I470" s="1392"/>
    </row>
    <row r="471" spans="1:9" ht="15">
      <c r="A471" s="1366"/>
      <c r="B471" s="1388"/>
      <c r="C471" s="1373"/>
      <c r="D471" s="1389"/>
      <c r="E471" s="1390"/>
      <c r="F471" s="1391"/>
      <c r="G471" s="1391"/>
      <c r="H471" s="1392"/>
      <c r="I471" s="1392"/>
    </row>
    <row r="472" spans="1:9" ht="15">
      <c r="A472" s="1366"/>
      <c r="B472" s="1388"/>
      <c r="C472" s="1373"/>
      <c r="D472" s="1389"/>
      <c r="E472" s="1390"/>
      <c r="F472" s="1391"/>
      <c r="G472" s="1391"/>
      <c r="H472" s="1392"/>
      <c r="I472" s="1392"/>
    </row>
    <row r="473" spans="1:9" ht="15">
      <c r="A473" s="1366"/>
      <c r="B473" s="1388"/>
      <c r="C473" s="1373"/>
      <c r="D473" s="1389"/>
      <c r="E473" s="1390"/>
      <c r="F473" s="1391"/>
      <c r="G473" s="1391"/>
      <c r="H473" s="1392"/>
      <c r="I473" s="1392"/>
    </row>
    <row r="474" spans="1:9" ht="15">
      <c r="A474" s="1366"/>
      <c r="B474" s="1388"/>
      <c r="C474" s="1373"/>
      <c r="D474" s="1389"/>
      <c r="E474" s="1390"/>
      <c r="F474" s="1391"/>
      <c r="G474" s="1391"/>
      <c r="H474" s="1392"/>
      <c r="I474" s="1392"/>
    </row>
    <row r="475" spans="1:9" ht="15">
      <c r="A475" s="1366"/>
      <c r="B475" s="1388"/>
      <c r="C475" s="1373"/>
      <c r="D475" s="1389"/>
      <c r="E475" s="1390"/>
      <c r="F475" s="1391"/>
      <c r="G475" s="1391"/>
      <c r="H475" s="1392"/>
      <c r="I475" s="1392"/>
    </row>
    <row r="476" spans="1:9" ht="15">
      <c r="A476" s="1366"/>
      <c r="B476" s="1388"/>
      <c r="C476" s="1373"/>
      <c r="D476" s="1389"/>
      <c r="E476" s="1390"/>
      <c r="F476" s="1391"/>
      <c r="G476" s="1391"/>
      <c r="H476" s="1392"/>
      <c r="I476" s="1392"/>
    </row>
    <row r="477" spans="1:9" ht="15">
      <c r="A477" s="1366"/>
      <c r="B477" s="1388"/>
      <c r="C477" s="1373"/>
      <c r="D477" s="1389"/>
      <c r="E477" s="1390"/>
      <c r="F477" s="1391"/>
      <c r="G477" s="1391"/>
      <c r="H477" s="1392"/>
      <c r="I477" s="1392"/>
    </row>
    <row r="478" spans="1:9" ht="15">
      <c r="A478" s="1366"/>
      <c r="B478" s="1388"/>
      <c r="C478" s="1373"/>
      <c r="D478" s="1389"/>
      <c r="E478" s="1390"/>
      <c r="F478" s="1391"/>
      <c r="G478" s="1391"/>
      <c r="H478" s="1392"/>
      <c r="I478" s="1392"/>
    </row>
    <row r="479" spans="1:9" ht="15">
      <c r="A479" s="1366"/>
      <c r="B479" s="1388"/>
      <c r="C479" s="1373"/>
      <c r="D479" s="1389"/>
      <c r="E479" s="1390"/>
      <c r="F479" s="1391"/>
      <c r="G479" s="1391"/>
      <c r="H479" s="1392"/>
      <c r="I479" s="1392"/>
    </row>
    <row r="480" spans="1:9" ht="15">
      <c r="A480" s="1366"/>
      <c r="B480" s="1388"/>
      <c r="C480" s="1373"/>
      <c r="D480" s="1389"/>
      <c r="E480" s="1390"/>
      <c r="F480" s="1391"/>
      <c r="G480" s="1391"/>
      <c r="H480" s="1392"/>
      <c r="I480" s="1392"/>
    </row>
    <row r="481" spans="1:9" ht="15">
      <c r="A481" s="1366"/>
      <c r="B481" s="1388"/>
      <c r="C481" s="1373"/>
      <c r="D481" s="1389"/>
      <c r="E481" s="1390"/>
      <c r="F481" s="1391"/>
      <c r="G481" s="1391"/>
      <c r="H481" s="1392"/>
      <c r="I481" s="1392"/>
    </row>
    <row r="482" spans="1:9" ht="15">
      <c r="A482" s="1366"/>
      <c r="B482" s="1388"/>
      <c r="C482" s="1373"/>
      <c r="D482" s="1389"/>
      <c r="E482" s="1390"/>
      <c r="F482" s="1391"/>
      <c r="G482" s="1391"/>
      <c r="H482" s="1392"/>
      <c r="I482" s="1392"/>
    </row>
    <row r="483" spans="1:9" ht="15">
      <c r="A483" s="1366"/>
      <c r="B483" s="1388"/>
      <c r="C483" s="1373"/>
      <c r="D483" s="1389"/>
      <c r="E483" s="1390"/>
      <c r="F483" s="1391"/>
      <c r="G483" s="1391"/>
      <c r="H483" s="1392"/>
      <c r="I483" s="1392"/>
    </row>
    <row r="484" spans="1:9" ht="15">
      <c r="A484" s="1366"/>
      <c r="B484" s="1388"/>
      <c r="C484" s="1373"/>
      <c r="D484" s="1389"/>
      <c r="E484" s="1390"/>
      <c r="F484" s="1391"/>
      <c r="G484" s="1391"/>
      <c r="H484" s="1392"/>
      <c r="I484" s="1392"/>
    </row>
    <row r="485" spans="1:9" ht="15">
      <c r="A485" s="1366"/>
      <c r="B485" s="1388"/>
      <c r="C485" s="1373"/>
      <c r="D485" s="1389"/>
      <c r="E485" s="1390"/>
      <c r="F485" s="1391"/>
      <c r="G485" s="1391"/>
      <c r="H485" s="1392"/>
      <c r="I485" s="1392"/>
    </row>
    <row r="486" spans="1:9" ht="15">
      <c r="A486" s="1366"/>
      <c r="B486" s="1388"/>
      <c r="C486" s="1373"/>
      <c r="D486" s="1389"/>
      <c r="E486" s="1390"/>
      <c r="F486" s="1391"/>
      <c r="G486" s="1391"/>
      <c r="H486" s="1392"/>
      <c r="I486" s="1392"/>
    </row>
    <row r="487" spans="1:9" ht="15">
      <c r="A487" s="1366"/>
      <c r="B487" s="1388"/>
      <c r="C487" s="1373"/>
      <c r="D487" s="1389"/>
      <c r="E487" s="1390"/>
      <c r="F487" s="1391"/>
      <c r="G487" s="1391"/>
      <c r="H487" s="1392"/>
      <c r="I487" s="1392"/>
    </row>
    <row r="488" spans="1:9" ht="15">
      <c r="A488" s="1366"/>
      <c r="B488" s="1388"/>
      <c r="C488" s="1373"/>
      <c r="D488" s="1389"/>
      <c r="E488" s="1390"/>
      <c r="F488" s="1391"/>
      <c r="G488" s="1391"/>
      <c r="H488" s="1392"/>
      <c r="I488" s="1392"/>
    </row>
    <row r="489" spans="1:9" ht="15">
      <c r="A489" s="1366"/>
      <c r="B489" s="1388"/>
      <c r="C489" s="1373"/>
      <c r="D489" s="1389"/>
      <c r="E489" s="1390"/>
      <c r="F489" s="1391"/>
      <c r="G489" s="1391"/>
      <c r="H489" s="1392"/>
      <c r="I489" s="1392"/>
    </row>
    <row r="490" spans="1:9" ht="15">
      <c r="A490" s="1366"/>
      <c r="B490" s="1388"/>
      <c r="C490" s="1373"/>
      <c r="D490" s="1389"/>
      <c r="E490" s="1390"/>
      <c r="F490" s="1391"/>
      <c r="G490" s="1391"/>
      <c r="H490" s="1392"/>
      <c r="I490" s="1392"/>
    </row>
    <row r="491" spans="1:9" ht="15">
      <c r="A491" s="1366"/>
      <c r="B491" s="1388"/>
      <c r="C491" s="1373"/>
      <c r="D491" s="1389"/>
      <c r="E491" s="1390"/>
      <c r="F491" s="1391"/>
      <c r="G491" s="1391"/>
      <c r="H491" s="1392"/>
      <c r="I491" s="1392"/>
    </row>
    <row r="492" spans="1:9" ht="15">
      <c r="A492" s="1366"/>
      <c r="B492" s="1388"/>
      <c r="C492" s="1373"/>
      <c r="D492" s="1389"/>
      <c r="E492" s="1390"/>
      <c r="F492" s="1391"/>
      <c r="G492" s="1391"/>
      <c r="H492" s="1392"/>
      <c r="I492" s="1392"/>
    </row>
    <row r="493" spans="1:9" ht="15">
      <c r="A493" s="1366"/>
      <c r="B493" s="1388"/>
      <c r="C493" s="1373"/>
      <c r="D493" s="1389"/>
      <c r="E493" s="1390"/>
      <c r="F493" s="1391"/>
      <c r="G493" s="1391"/>
      <c r="H493" s="1392"/>
      <c r="I493" s="1392"/>
    </row>
    <row r="494" spans="1:9" ht="15">
      <c r="A494" s="1366"/>
      <c r="B494" s="1388"/>
      <c r="C494" s="1373"/>
      <c r="D494" s="1389"/>
      <c r="E494" s="1390"/>
      <c r="F494" s="1391"/>
      <c r="G494" s="1391"/>
      <c r="H494" s="1392"/>
      <c r="I494" s="1392"/>
    </row>
    <row r="495" spans="1:9" ht="15">
      <c r="A495" s="1366"/>
      <c r="B495" s="1388"/>
      <c r="C495" s="1373"/>
      <c r="D495" s="1389"/>
      <c r="E495" s="1390"/>
      <c r="F495" s="1391"/>
      <c r="G495" s="1391"/>
      <c r="H495" s="1392"/>
      <c r="I495" s="1392"/>
    </row>
    <row r="496" spans="1:9" ht="15">
      <c r="A496" s="1366"/>
      <c r="B496" s="1388"/>
      <c r="C496" s="1373"/>
      <c r="D496" s="1389"/>
      <c r="E496" s="1390"/>
      <c r="F496" s="1391"/>
      <c r="G496" s="1391"/>
      <c r="H496" s="1392"/>
      <c r="I496" s="1392"/>
    </row>
    <row r="497" spans="1:9" ht="15">
      <c r="A497" s="1366"/>
      <c r="B497" s="1388"/>
      <c r="C497" s="1373"/>
      <c r="D497" s="1389"/>
      <c r="E497" s="1390"/>
      <c r="F497" s="1391"/>
      <c r="G497" s="1391"/>
      <c r="H497" s="1392"/>
      <c r="I497" s="1392"/>
    </row>
    <row r="498" spans="1:9" ht="15">
      <c r="A498" s="1366"/>
      <c r="B498" s="1388"/>
      <c r="C498" s="1373"/>
      <c r="D498" s="1389"/>
      <c r="E498" s="1390"/>
      <c r="F498" s="1391"/>
      <c r="G498" s="1391"/>
      <c r="H498" s="1392"/>
      <c r="I498" s="1392"/>
    </row>
    <row r="499" spans="1:9" ht="15">
      <c r="A499" s="1366"/>
      <c r="B499" s="1388"/>
      <c r="C499" s="1373"/>
      <c r="D499" s="1389"/>
      <c r="E499" s="1390"/>
      <c r="F499" s="1391"/>
      <c r="G499" s="1391"/>
      <c r="H499" s="1392"/>
      <c r="I499" s="1392"/>
    </row>
    <row r="500" spans="1:9" ht="15">
      <c r="A500" s="1366"/>
      <c r="B500" s="1388"/>
      <c r="C500" s="1373"/>
      <c r="D500" s="1389"/>
      <c r="E500" s="1390"/>
      <c r="F500" s="1391"/>
      <c r="G500" s="1391"/>
      <c r="H500" s="1392"/>
      <c r="I500" s="1392"/>
    </row>
    <row r="501" spans="1:9" ht="15">
      <c r="A501" s="1366"/>
      <c r="B501" s="1388"/>
      <c r="C501" s="1373"/>
      <c r="D501" s="1389"/>
      <c r="E501" s="1390"/>
      <c r="F501" s="1391"/>
      <c r="G501" s="1391"/>
      <c r="H501" s="1392"/>
      <c r="I501" s="1392"/>
    </row>
    <row r="502" spans="1:9" ht="15">
      <c r="A502" s="1366"/>
      <c r="B502" s="1388"/>
      <c r="C502" s="1373"/>
      <c r="D502" s="1389"/>
      <c r="E502" s="1390"/>
      <c r="F502" s="1391"/>
      <c r="G502" s="1391"/>
      <c r="H502" s="1392"/>
      <c r="I502" s="1392"/>
    </row>
    <row r="503" spans="1:9" ht="15">
      <c r="A503" s="1366"/>
      <c r="B503" s="1388"/>
      <c r="C503" s="1373"/>
      <c r="D503" s="1389"/>
      <c r="E503" s="1390"/>
      <c r="F503" s="1391"/>
      <c r="G503" s="1391"/>
      <c r="H503" s="1392"/>
      <c r="I503" s="1392"/>
    </row>
    <row r="504" spans="1:9" ht="15">
      <c r="A504" s="1366"/>
      <c r="B504" s="1388"/>
      <c r="C504" s="1373"/>
      <c r="D504" s="1389"/>
      <c r="E504" s="1390"/>
      <c r="F504" s="1391"/>
      <c r="G504" s="1391"/>
      <c r="H504" s="1392"/>
      <c r="I504" s="1392"/>
    </row>
    <row r="505" spans="1:9" ht="15">
      <c r="A505" s="1366"/>
      <c r="B505" s="1388"/>
      <c r="C505" s="1373"/>
      <c r="D505" s="1389"/>
      <c r="E505" s="1390"/>
      <c r="F505" s="1391"/>
      <c r="G505" s="1391"/>
      <c r="H505" s="1392"/>
      <c r="I505" s="1392"/>
    </row>
    <row r="506" spans="1:9" ht="15">
      <c r="A506" s="1366"/>
      <c r="B506" s="1388"/>
      <c r="C506" s="1373"/>
      <c r="D506" s="1389"/>
      <c r="E506" s="1390"/>
      <c r="F506" s="1391"/>
      <c r="G506" s="1391"/>
      <c r="H506" s="1392"/>
      <c r="I506" s="1392"/>
    </row>
    <row r="507" spans="1:9" ht="15">
      <c r="A507" s="1366"/>
      <c r="B507" s="1388"/>
      <c r="C507" s="1373"/>
      <c r="D507" s="1389"/>
      <c r="E507" s="1390"/>
      <c r="F507" s="1391"/>
      <c r="G507" s="1391"/>
      <c r="H507" s="1392"/>
      <c r="I507" s="1392"/>
    </row>
    <row r="508" spans="1:9" ht="15">
      <c r="A508" s="1366"/>
      <c r="B508" s="1388"/>
      <c r="C508" s="1373"/>
      <c r="D508" s="1389"/>
      <c r="E508" s="1390"/>
      <c r="F508" s="1391"/>
      <c r="G508" s="1391"/>
      <c r="H508" s="1392"/>
      <c r="I508" s="1392"/>
    </row>
    <row r="509" spans="1:9" ht="15">
      <c r="A509" s="1366"/>
      <c r="B509" s="1388"/>
      <c r="C509" s="1373"/>
      <c r="D509" s="1389"/>
      <c r="E509" s="1390"/>
      <c r="F509" s="1391"/>
      <c r="G509" s="1391"/>
      <c r="H509" s="1392"/>
      <c r="I509" s="1392"/>
    </row>
    <row r="510" spans="1:9" ht="15">
      <c r="A510" s="1366"/>
      <c r="B510" s="1388"/>
      <c r="C510" s="1373"/>
      <c r="D510" s="1389"/>
      <c r="E510" s="1390"/>
      <c r="F510" s="1391"/>
      <c r="G510" s="1391"/>
      <c r="H510" s="1392"/>
      <c r="I510" s="1392"/>
    </row>
    <row r="511" spans="1:9" ht="15">
      <c r="A511" s="1366"/>
      <c r="B511" s="1388"/>
      <c r="C511" s="1373"/>
      <c r="D511" s="1389"/>
      <c r="E511" s="1390"/>
      <c r="F511" s="1391"/>
      <c r="G511" s="1391"/>
      <c r="H511" s="1392"/>
      <c r="I511" s="1392"/>
    </row>
    <row r="512" spans="1:9" ht="15">
      <c r="A512" s="1366"/>
      <c r="B512" s="1388"/>
      <c r="C512" s="1373"/>
      <c r="D512" s="1389"/>
      <c r="E512" s="1390"/>
      <c r="F512" s="1391"/>
      <c r="G512" s="1391"/>
      <c r="H512" s="1392"/>
      <c r="I512" s="1392"/>
    </row>
    <row r="513" spans="1:9" ht="15">
      <c r="A513" s="1366"/>
      <c r="B513" s="1388"/>
      <c r="C513" s="1373"/>
      <c r="D513" s="1389"/>
      <c r="E513" s="1390"/>
      <c r="F513" s="1391"/>
      <c r="G513" s="1391"/>
      <c r="H513" s="1392"/>
      <c r="I513" s="1392"/>
    </row>
    <row r="514" spans="1:9" ht="15">
      <c r="A514" s="1366"/>
      <c r="B514" s="1388"/>
      <c r="C514" s="1373"/>
      <c r="D514" s="1389"/>
      <c r="E514" s="1390"/>
      <c r="F514" s="1391"/>
      <c r="G514" s="1391"/>
      <c r="H514" s="1392"/>
      <c r="I514" s="1392"/>
    </row>
    <row r="515" spans="1:9" ht="15">
      <c r="A515" s="1366"/>
      <c r="B515" s="1388"/>
      <c r="C515" s="1373"/>
      <c r="D515" s="1389"/>
      <c r="E515" s="1390"/>
      <c r="F515" s="1391"/>
      <c r="G515" s="1391"/>
      <c r="H515" s="1392"/>
      <c r="I515" s="1392"/>
    </row>
    <row r="516" spans="1:9" ht="15">
      <c r="A516" s="1366"/>
      <c r="B516" s="1388"/>
      <c r="C516" s="1373"/>
      <c r="D516" s="1389"/>
      <c r="E516" s="1390"/>
      <c r="F516" s="1391"/>
      <c r="G516" s="1391"/>
      <c r="H516" s="1392"/>
      <c r="I516" s="1392"/>
    </row>
    <row r="517" spans="1:9" ht="15">
      <c r="A517" s="1366"/>
      <c r="B517" s="1388"/>
      <c r="C517" s="1373"/>
      <c r="D517" s="1389"/>
      <c r="E517" s="1390"/>
      <c r="F517" s="1391"/>
      <c r="G517" s="1391"/>
      <c r="H517" s="1392"/>
      <c r="I517" s="1392"/>
    </row>
    <row r="518" spans="1:9" ht="15">
      <c r="A518" s="1366"/>
      <c r="B518" s="1388"/>
      <c r="C518" s="1373"/>
      <c r="D518" s="1389"/>
      <c r="E518" s="1390"/>
      <c r="F518" s="1391"/>
      <c r="G518" s="1391"/>
      <c r="H518" s="1392"/>
      <c r="I518" s="1392"/>
    </row>
    <row r="519" spans="1:9" ht="15">
      <c r="A519" s="1366"/>
      <c r="B519" s="1388"/>
      <c r="C519" s="1373"/>
      <c r="D519" s="1389"/>
      <c r="E519" s="1390"/>
      <c r="F519" s="1391"/>
      <c r="G519" s="1391"/>
      <c r="H519" s="1392"/>
      <c r="I519" s="1392"/>
    </row>
    <row r="520" spans="1:9" ht="15">
      <c r="A520" s="1366"/>
      <c r="B520" s="1388"/>
      <c r="C520" s="1373"/>
      <c r="D520" s="1389"/>
      <c r="E520" s="1390"/>
      <c r="F520" s="1391"/>
      <c r="G520" s="1391"/>
      <c r="H520" s="1392"/>
      <c r="I520" s="1392"/>
    </row>
    <row r="521" spans="1:9" ht="15">
      <c r="A521" s="1366"/>
      <c r="B521" s="1388"/>
      <c r="C521" s="1373"/>
      <c r="D521" s="1389"/>
      <c r="E521" s="1390"/>
      <c r="F521" s="1391"/>
      <c r="G521" s="1391"/>
      <c r="H521" s="1392"/>
      <c r="I521" s="1392"/>
    </row>
    <row r="522" spans="1:9" ht="15">
      <c r="A522" s="1366"/>
      <c r="B522" s="1388"/>
      <c r="C522" s="1373"/>
      <c r="D522" s="1389"/>
      <c r="E522" s="1390"/>
      <c r="F522" s="1391"/>
      <c r="G522" s="1391"/>
      <c r="H522" s="1392"/>
      <c r="I522" s="1392"/>
    </row>
    <row r="523" spans="1:9" ht="15">
      <c r="A523" s="1366"/>
      <c r="B523" s="1388"/>
      <c r="C523" s="1373"/>
      <c r="D523" s="1389"/>
      <c r="E523" s="1390"/>
      <c r="F523" s="1391"/>
      <c r="G523" s="1391"/>
      <c r="H523" s="1392"/>
      <c r="I523" s="1392"/>
    </row>
    <row r="524" spans="1:9" ht="15">
      <c r="A524" s="1366"/>
      <c r="B524" s="1388"/>
      <c r="C524" s="1373"/>
      <c r="D524" s="1389"/>
      <c r="E524" s="1390"/>
      <c r="F524" s="1391"/>
      <c r="G524" s="1391"/>
      <c r="H524" s="1392"/>
      <c r="I524" s="1392"/>
    </row>
    <row r="525" spans="1:9" ht="15">
      <c r="A525" s="1366"/>
      <c r="B525" s="1388"/>
      <c r="C525" s="1373"/>
      <c r="D525" s="1389"/>
      <c r="E525" s="1390"/>
      <c r="F525" s="1391"/>
      <c r="G525" s="1391"/>
      <c r="H525" s="1392"/>
      <c r="I525" s="1392"/>
    </row>
    <row r="526" spans="1:9" ht="15">
      <c r="A526" s="1366"/>
      <c r="B526" s="1388"/>
      <c r="C526" s="1373"/>
      <c r="D526" s="1389"/>
      <c r="E526" s="1390"/>
      <c r="F526" s="1391"/>
      <c r="G526" s="1391"/>
      <c r="H526" s="1392"/>
      <c r="I526" s="1392"/>
    </row>
    <row r="527" spans="1:9" ht="15">
      <c r="A527" s="1366"/>
      <c r="B527" s="1388"/>
      <c r="C527" s="1373"/>
      <c r="D527" s="1389"/>
      <c r="E527" s="1390"/>
      <c r="F527" s="1391"/>
      <c r="G527" s="1391"/>
      <c r="H527" s="1392"/>
      <c r="I527" s="1392"/>
    </row>
    <row r="528" spans="1:9" ht="15">
      <c r="A528" s="1366"/>
      <c r="B528" s="1388"/>
      <c r="C528" s="1373"/>
      <c r="D528" s="1389"/>
      <c r="E528" s="1390"/>
      <c r="F528" s="1391"/>
      <c r="G528" s="1391"/>
      <c r="H528" s="1392"/>
      <c r="I528" s="1392"/>
    </row>
    <row r="529" spans="1:9" ht="15">
      <c r="A529" s="1366"/>
      <c r="B529" s="1388"/>
      <c r="C529" s="1373"/>
      <c r="D529" s="1389"/>
      <c r="E529" s="1390"/>
      <c r="F529" s="1391"/>
      <c r="G529" s="1391"/>
      <c r="H529" s="1392"/>
      <c r="I529" s="1392"/>
    </row>
    <row r="530" spans="1:9" ht="15">
      <c r="A530" s="1366"/>
      <c r="B530" s="1388"/>
      <c r="C530" s="1373"/>
      <c r="D530" s="1389"/>
      <c r="E530" s="1390"/>
      <c r="F530" s="1391"/>
      <c r="G530" s="1391"/>
      <c r="H530" s="1392"/>
      <c r="I530" s="1392"/>
    </row>
    <row r="531" spans="1:9" ht="15">
      <c r="A531" s="1366"/>
      <c r="B531" s="1388"/>
      <c r="C531" s="1373"/>
      <c r="D531" s="1389"/>
      <c r="E531" s="1390"/>
      <c r="F531" s="1391"/>
      <c r="G531" s="1391"/>
      <c r="H531" s="1392"/>
      <c r="I531" s="1392"/>
    </row>
    <row r="532" spans="1:9" ht="15">
      <c r="A532" s="1366"/>
      <c r="B532" s="1388"/>
      <c r="C532" s="1373"/>
      <c r="D532" s="1389"/>
      <c r="E532" s="1390"/>
      <c r="F532" s="1391"/>
      <c r="G532" s="1391"/>
      <c r="H532" s="1392"/>
      <c r="I532" s="1392"/>
    </row>
    <row r="533" spans="1:9" ht="15">
      <c r="A533" s="1366"/>
      <c r="B533" s="1388"/>
      <c r="C533" s="1373"/>
      <c r="D533" s="1389"/>
      <c r="E533" s="1390"/>
      <c r="F533" s="1391"/>
      <c r="G533" s="1391"/>
      <c r="H533" s="1392"/>
      <c r="I533" s="1392"/>
    </row>
    <row r="534" spans="1:9" ht="15">
      <c r="A534" s="1366"/>
      <c r="B534" s="1388"/>
      <c r="C534" s="1373"/>
      <c r="D534" s="1389"/>
      <c r="E534" s="1390"/>
      <c r="F534" s="1391"/>
      <c r="G534" s="1391"/>
      <c r="H534" s="1392"/>
      <c r="I534" s="1392"/>
    </row>
    <row r="535" spans="1:9" ht="15">
      <c r="A535" s="1366"/>
      <c r="B535" s="1388"/>
      <c r="C535" s="1373"/>
      <c r="D535" s="1389"/>
      <c r="E535" s="1390"/>
      <c r="F535" s="1391"/>
      <c r="G535" s="1391"/>
      <c r="H535" s="1392"/>
      <c r="I535" s="1392"/>
    </row>
    <row r="536" spans="1:9" ht="15">
      <c r="A536" s="1366"/>
      <c r="B536" s="1388"/>
      <c r="C536" s="1373"/>
      <c r="D536" s="1389"/>
      <c r="E536" s="1390"/>
      <c r="F536" s="1391"/>
      <c r="G536" s="1391"/>
      <c r="H536" s="1392"/>
      <c r="I536" s="1392"/>
    </row>
    <row r="537" spans="1:9" ht="15">
      <c r="A537" s="1366"/>
      <c r="B537" s="1388"/>
      <c r="C537" s="1373"/>
      <c r="D537" s="1389"/>
      <c r="E537" s="1390"/>
      <c r="F537" s="1391"/>
      <c r="G537" s="1391"/>
      <c r="H537" s="1392"/>
      <c r="I537" s="1392"/>
    </row>
    <row r="538" spans="1:9" ht="15">
      <c r="A538" s="1366"/>
      <c r="B538" s="1388"/>
      <c r="C538" s="1373"/>
      <c r="D538" s="1389"/>
      <c r="E538" s="1390"/>
      <c r="F538" s="1391"/>
      <c r="G538" s="1391"/>
      <c r="H538" s="1392"/>
      <c r="I538" s="1392"/>
    </row>
    <row r="539" spans="1:9" ht="15">
      <c r="A539" s="1366"/>
      <c r="B539" s="1388"/>
      <c r="C539" s="1373"/>
      <c r="D539" s="1389"/>
      <c r="E539" s="1390"/>
      <c r="F539" s="1391"/>
      <c r="G539" s="1391"/>
      <c r="H539" s="1392"/>
      <c r="I539" s="1392"/>
    </row>
    <row r="540" spans="1:9" ht="15">
      <c r="A540" s="1366"/>
      <c r="B540" s="1388"/>
      <c r="C540" s="1373"/>
      <c r="D540" s="1389"/>
      <c r="E540" s="1390"/>
      <c r="F540" s="1391"/>
      <c r="G540" s="1391"/>
      <c r="H540" s="1392"/>
      <c r="I540" s="1392"/>
    </row>
    <row r="541" spans="1:9" ht="15">
      <c r="A541" s="1366"/>
      <c r="B541" s="1388"/>
      <c r="C541" s="1373"/>
      <c r="D541" s="1389"/>
      <c r="E541" s="1390"/>
      <c r="F541" s="1391"/>
      <c r="G541" s="1391"/>
      <c r="H541" s="1392"/>
      <c r="I541" s="1392"/>
    </row>
    <row r="542" spans="1:9" ht="15">
      <c r="A542" s="1366"/>
      <c r="B542" s="1388"/>
      <c r="C542" s="1373"/>
      <c r="D542" s="1389"/>
      <c r="E542" s="1390"/>
      <c r="F542" s="1391"/>
      <c r="G542" s="1391"/>
      <c r="H542" s="1392"/>
      <c r="I542" s="1392"/>
    </row>
    <row r="543" spans="1:9" ht="15">
      <c r="A543" s="1366"/>
      <c r="B543" s="1388"/>
      <c r="C543" s="1373"/>
      <c r="D543" s="1389"/>
      <c r="E543" s="1390"/>
      <c r="F543" s="1391"/>
      <c r="G543" s="1391"/>
      <c r="H543" s="1392"/>
      <c r="I543" s="1392"/>
    </row>
    <row r="544" spans="1:9" ht="15">
      <c r="A544" s="1366"/>
      <c r="B544" s="1388"/>
      <c r="C544" s="1373"/>
      <c r="D544" s="1389"/>
      <c r="E544" s="1390"/>
      <c r="F544" s="1391"/>
      <c r="G544" s="1391"/>
      <c r="H544" s="1392"/>
      <c r="I544" s="1392"/>
    </row>
    <row r="545" spans="1:9" ht="15">
      <c r="A545" s="1366"/>
      <c r="B545" s="1388"/>
      <c r="C545" s="1373"/>
      <c r="D545" s="1389"/>
      <c r="E545" s="1390"/>
      <c r="F545" s="1391"/>
      <c r="G545" s="1391"/>
      <c r="H545" s="1392"/>
      <c r="I545" s="1392"/>
    </row>
    <row r="546" spans="1:9" ht="15">
      <c r="A546" s="1366"/>
      <c r="B546" s="1388"/>
      <c r="C546" s="1373"/>
      <c r="D546" s="1389"/>
      <c r="E546" s="1390"/>
      <c r="F546" s="1391"/>
      <c r="G546" s="1391"/>
      <c r="H546" s="1392"/>
      <c r="I546" s="1392"/>
    </row>
    <row r="547" spans="1:9" ht="15">
      <c r="A547" s="1366"/>
      <c r="B547" s="1388"/>
      <c r="C547" s="1373"/>
      <c r="D547" s="1389"/>
      <c r="E547" s="1390"/>
      <c r="F547" s="1391"/>
      <c r="G547" s="1391"/>
      <c r="H547" s="1392"/>
      <c r="I547" s="1392"/>
    </row>
    <row r="548" spans="1:9" ht="15">
      <c r="A548" s="1366"/>
      <c r="B548" s="1388"/>
      <c r="C548" s="1373"/>
      <c r="D548" s="1389"/>
      <c r="E548" s="1390"/>
      <c r="F548" s="1391"/>
      <c r="G548" s="1391"/>
      <c r="H548" s="1392"/>
      <c r="I548" s="1392"/>
    </row>
    <row r="549" spans="1:9" ht="15">
      <c r="A549" s="1366"/>
      <c r="B549" s="1388"/>
      <c r="C549" s="1373"/>
      <c r="D549" s="1389"/>
      <c r="E549" s="1390"/>
      <c r="F549" s="1391"/>
      <c r="G549" s="1391"/>
      <c r="H549" s="1392"/>
      <c r="I549" s="1392"/>
    </row>
    <row r="550" spans="1:9" ht="15">
      <c r="A550" s="1366"/>
      <c r="B550" s="1388"/>
      <c r="C550" s="1373"/>
      <c r="D550" s="1389"/>
      <c r="E550" s="1390"/>
      <c r="F550" s="1391"/>
      <c r="G550" s="1391"/>
      <c r="H550" s="1392"/>
      <c r="I550" s="1392"/>
    </row>
    <row r="551" spans="1:9" ht="15">
      <c r="A551" s="1366"/>
      <c r="B551" s="1388"/>
      <c r="C551" s="1373"/>
      <c r="D551" s="1389"/>
      <c r="E551" s="1390"/>
      <c r="F551" s="1391"/>
      <c r="G551" s="1391"/>
      <c r="H551" s="1392"/>
      <c r="I551" s="1392"/>
    </row>
    <row r="552" spans="1:9" ht="15">
      <c r="A552" s="1366"/>
      <c r="B552" s="1388"/>
      <c r="C552" s="1373"/>
      <c r="D552" s="1389"/>
      <c r="E552" s="1390"/>
      <c r="F552" s="1391"/>
      <c r="G552" s="1391"/>
      <c r="H552" s="1392"/>
      <c r="I552" s="1392"/>
    </row>
    <row r="553" spans="1:9" ht="15">
      <c r="A553" s="1366"/>
      <c r="B553" s="1388"/>
      <c r="C553" s="1373"/>
      <c r="D553" s="1389"/>
      <c r="E553" s="1390"/>
      <c r="F553" s="1391"/>
      <c r="G553" s="1391"/>
      <c r="H553" s="1392"/>
      <c r="I553" s="1392"/>
    </row>
    <row r="554" spans="1:9" ht="15">
      <c r="A554" s="1366"/>
      <c r="B554" s="1388"/>
      <c r="C554" s="1373"/>
      <c r="D554" s="1389"/>
      <c r="E554" s="1390"/>
      <c r="F554" s="1391"/>
      <c r="G554" s="1391"/>
      <c r="H554" s="1392"/>
      <c r="I554" s="1392"/>
    </row>
    <row r="555" spans="1:9" ht="15">
      <c r="A555" s="1366"/>
      <c r="B555" s="1388"/>
      <c r="C555" s="1373"/>
      <c r="D555" s="1389"/>
      <c r="E555" s="1390"/>
      <c r="F555" s="1391"/>
      <c r="G555" s="1391"/>
      <c r="H555" s="1392"/>
      <c r="I555" s="1392"/>
    </row>
    <row r="556" spans="1:9" ht="15">
      <c r="A556" s="1366"/>
      <c r="B556" s="1388"/>
      <c r="C556" s="1373"/>
      <c r="D556" s="1389"/>
      <c r="E556" s="1390"/>
      <c r="F556" s="1391"/>
      <c r="G556" s="1391"/>
      <c r="H556" s="1392"/>
      <c r="I556" s="1392"/>
    </row>
    <row r="557" spans="1:9" ht="15">
      <c r="A557" s="1366"/>
      <c r="B557" s="1388"/>
      <c r="C557" s="1373"/>
      <c r="D557" s="1389"/>
      <c r="E557" s="1390"/>
      <c r="F557" s="1391"/>
      <c r="G557" s="1391"/>
      <c r="H557" s="1392"/>
      <c r="I557" s="1392"/>
    </row>
    <row r="558" spans="1:9" ht="15">
      <c r="A558" s="1366"/>
      <c r="B558" s="1388"/>
      <c r="C558" s="1373"/>
      <c r="D558" s="1389"/>
      <c r="E558" s="1390"/>
      <c r="F558" s="1391"/>
      <c r="G558" s="1391"/>
      <c r="H558" s="1392"/>
      <c r="I558" s="1392"/>
    </row>
    <row r="559" spans="1:9" ht="15">
      <c r="A559" s="1366"/>
      <c r="B559" s="1388"/>
      <c r="C559" s="1373"/>
      <c r="D559" s="1389"/>
      <c r="E559" s="1390"/>
      <c r="F559" s="1391"/>
      <c r="G559" s="1391"/>
      <c r="H559" s="1392"/>
      <c r="I559" s="1392"/>
    </row>
    <row r="560" spans="1:9" ht="15">
      <c r="A560" s="1366"/>
      <c r="B560" s="1388"/>
      <c r="C560" s="1373"/>
      <c r="D560" s="1389"/>
      <c r="E560" s="1390"/>
      <c r="F560" s="1391"/>
      <c r="G560" s="1391"/>
      <c r="H560" s="1392"/>
      <c r="I560" s="1392"/>
    </row>
    <row r="561" spans="1:9" ht="15">
      <c r="A561" s="1366"/>
      <c r="B561" s="1388"/>
      <c r="C561" s="1373"/>
      <c r="D561" s="1389"/>
      <c r="E561" s="1390"/>
      <c r="F561" s="1391"/>
      <c r="G561" s="1391"/>
      <c r="H561" s="1392"/>
      <c r="I561" s="1392"/>
    </row>
    <row r="562" spans="1:9" ht="15">
      <c r="A562" s="1366"/>
      <c r="B562" s="1388"/>
      <c r="C562" s="1373"/>
      <c r="D562" s="1389"/>
      <c r="E562" s="1390"/>
      <c r="F562" s="1391"/>
      <c r="G562" s="1391"/>
      <c r="H562" s="1392"/>
      <c r="I562" s="1392"/>
    </row>
    <row r="563" spans="1:9" ht="15">
      <c r="A563" s="1366"/>
      <c r="B563" s="1388"/>
      <c r="C563" s="1373"/>
      <c r="D563" s="1389"/>
      <c r="E563" s="1390"/>
      <c r="F563" s="1391"/>
      <c r="G563" s="1391"/>
      <c r="H563" s="1392"/>
      <c r="I563" s="1392"/>
    </row>
    <row r="564" spans="1:9" ht="15">
      <c r="A564" s="1366"/>
      <c r="B564" s="1388"/>
      <c r="C564" s="1373"/>
      <c r="D564" s="1389"/>
      <c r="E564" s="1390"/>
      <c r="F564" s="1391"/>
      <c r="G564" s="1391"/>
      <c r="H564" s="1392"/>
      <c r="I564" s="1392"/>
    </row>
    <row r="565" spans="1:9" ht="15">
      <c r="A565" s="1366"/>
      <c r="B565" s="1388"/>
      <c r="C565" s="1373"/>
      <c r="D565" s="1389"/>
      <c r="E565" s="1390"/>
      <c r="F565" s="1391"/>
      <c r="G565" s="1391"/>
      <c r="H565" s="1392"/>
      <c r="I565" s="1392"/>
    </row>
    <row r="566" spans="1:9" ht="15">
      <c r="A566" s="1366"/>
      <c r="B566" s="1388"/>
      <c r="C566" s="1373"/>
      <c r="D566" s="1389"/>
      <c r="E566" s="1390"/>
      <c r="F566" s="1391"/>
      <c r="G566" s="1391"/>
      <c r="H566" s="1392"/>
      <c r="I566" s="1392"/>
    </row>
    <row r="567" spans="1:9" ht="15">
      <c r="A567" s="1366"/>
      <c r="B567" s="1388"/>
      <c r="C567" s="1373"/>
      <c r="D567" s="1389"/>
      <c r="E567" s="1390"/>
      <c r="F567" s="1391"/>
      <c r="G567" s="1391"/>
      <c r="H567" s="1392"/>
      <c r="I567" s="1392"/>
    </row>
    <row r="568" spans="1:9" ht="15">
      <c r="A568" s="1366"/>
      <c r="B568" s="1388"/>
      <c r="C568" s="1373"/>
      <c r="D568" s="1389"/>
      <c r="E568" s="1390"/>
      <c r="F568" s="1391"/>
      <c r="G568" s="1391"/>
      <c r="H568" s="1392"/>
      <c r="I568" s="1392"/>
    </row>
    <row r="569" spans="1:9" ht="15">
      <c r="A569" s="1366"/>
      <c r="B569" s="1388"/>
      <c r="C569" s="1373"/>
      <c r="D569" s="1389"/>
      <c r="E569" s="1390"/>
      <c r="F569" s="1391"/>
      <c r="G569" s="1391"/>
      <c r="H569" s="1392"/>
      <c r="I569" s="1392"/>
    </row>
    <row r="570" spans="1:9" ht="15">
      <c r="A570" s="1366"/>
      <c r="B570" s="1388"/>
      <c r="C570" s="1373"/>
      <c r="D570" s="1389"/>
      <c r="E570" s="1390"/>
      <c r="F570" s="1391"/>
      <c r="G570" s="1391"/>
      <c r="H570" s="1392"/>
      <c r="I570" s="1392"/>
    </row>
    <row r="571" spans="1:9" ht="15">
      <c r="A571" s="1366"/>
      <c r="B571" s="1388"/>
      <c r="C571" s="1373"/>
      <c r="D571" s="1389"/>
      <c r="E571" s="1390"/>
      <c r="F571" s="1391"/>
      <c r="G571" s="1391"/>
      <c r="H571" s="1392"/>
      <c r="I571" s="1392"/>
    </row>
    <row r="572" spans="1:9" ht="15">
      <c r="A572" s="1366"/>
      <c r="B572" s="1388"/>
      <c r="C572" s="1373"/>
      <c r="D572" s="1389"/>
      <c r="E572" s="1390"/>
      <c r="F572" s="1391"/>
      <c r="G572" s="1391"/>
      <c r="H572" s="1392"/>
      <c r="I572" s="1392"/>
    </row>
    <row r="573" spans="1:9" ht="15">
      <c r="A573" s="1366"/>
      <c r="B573" s="1388"/>
      <c r="C573" s="1373"/>
      <c r="D573" s="1389"/>
      <c r="E573" s="1390"/>
      <c r="F573" s="1391"/>
      <c r="G573" s="1391"/>
      <c r="H573" s="1392"/>
      <c r="I573" s="1392"/>
    </row>
    <row r="574" spans="1:9" ht="15">
      <c r="A574" s="1366"/>
      <c r="B574" s="1388"/>
      <c r="C574" s="1373"/>
      <c r="D574" s="1389"/>
      <c r="E574" s="1390"/>
      <c r="F574" s="1391"/>
      <c r="G574" s="1391"/>
      <c r="H574" s="1392"/>
      <c r="I574" s="1392"/>
    </row>
    <row r="575" spans="1:9" ht="15">
      <c r="A575" s="1366"/>
      <c r="B575" s="1388"/>
      <c r="C575" s="1373"/>
      <c r="D575" s="1389"/>
      <c r="E575" s="1390"/>
      <c r="F575" s="1391"/>
      <c r="G575" s="1391"/>
      <c r="H575" s="1392"/>
      <c r="I575" s="1392"/>
    </row>
    <row r="576" spans="1:9" ht="15">
      <c r="A576" s="1366"/>
      <c r="B576" s="1388"/>
      <c r="C576" s="1373"/>
      <c r="D576" s="1389"/>
      <c r="E576" s="1390"/>
      <c r="F576" s="1391"/>
      <c r="G576" s="1391"/>
      <c r="H576" s="1392"/>
      <c r="I576" s="1392"/>
    </row>
    <row r="577" spans="1:9" ht="15">
      <c r="A577" s="1366"/>
      <c r="B577" s="1388"/>
      <c r="C577" s="1373"/>
      <c r="D577" s="1389"/>
      <c r="E577" s="1390"/>
      <c r="F577" s="1391"/>
      <c r="G577" s="1391"/>
      <c r="H577" s="1392"/>
      <c r="I577" s="1392"/>
    </row>
    <row r="578" spans="1:9" ht="15">
      <c r="A578" s="1366"/>
      <c r="B578" s="1388"/>
      <c r="C578" s="1373"/>
      <c r="D578" s="1389"/>
      <c r="E578" s="1390"/>
      <c r="F578" s="1391"/>
      <c r="G578" s="1391"/>
      <c r="H578" s="1392"/>
      <c r="I578" s="1392"/>
    </row>
    <row r="579" spans="1:9" ht="15">
      <c r="A579" s="1366"/>
      <c r="B579" s="1388"/>
      <c r="C579" s="1373"/>
      <c r="D579" s="1389"/>
      <c r="E579" s="1390"/>
      <c r="F579" s="1391"/>
      <c r="G579" s="1391"/>
      <c r="H579" s="1392"/>
      <c r="I579" s="1392"/>
    </row>
    <row r="580" spans="1:9" ht="15">
      <c r="A580" s="1366"/>
      <c r="B580" s="1388"/>
      <c r="C580" s="1373"/>
      <c r="D580" s="1389"/>
      <c r="E580" s="1390"/>
      <c r="F580" s="1391"/>
      <c r="G580" s="1391"/>
      <c r="H580" s="1392"/>
      <c r="I580" s="1392"/>
    </row>
    <row r="581" spans="1:9" ht="15">
      <c r="A581" s="1366"/>
      <c r="B581" s="1388"/>
      <c r="C581" s="1373"/>
      <c r="D581" s="1389"/>
      <c r="E581" s="1390"/>
      <c r="F581" s="1391"/>
      <c r="G581" s="1391"/>
      <c r="H581" s="1392"/>
      <c r="I581" s="1392"/>
    </row>
    <row r="582" spans="1:9" ht="15">
      <c r="A582" s="1366"/>
      <c r="B582" s="1388"/>
      <c r="C582" s="1373"/>
      <c r="D582" s="1389"/>
      <c r="E582" s="1390"/>
      <c r="F582" s="1391"/>
      <c r="G582" s="1391"/>
      <c r="H582" s="1392"/>
      <c r="I582" s="1392"/>
    </row>
    <row r="583" spans="1:9" ht="15">
      <c r="A583" s="1366"/>
      <c r="B583" s="1388"/>
      <c r="C583" s="1373"/>
      <c r="D583" s="1389"/>
      <c r="E583" s="1390"/>
      <c r="F583" s="1391"/>
      <c r="G583" s="1391"/>
      <c r="H583" s="1392"/>
      <c r="I583" s="1392"/>
    </row>
    <row r="584" spans="1:9" ht="15">
      <c r="A584" s="1366"/>
      <c r="B584" s="1388"/>
      <c r="C584" s="1373"/>
      <c r="D584" s="1389"/>
      <c r="E584" s="1390"/>
      <c r="F584" s="1391"/>
      <c r="G584" s="1391"/>
      <c r="H584" s="1392"/>
      <c r="I584" s="1392"/>
    </row>
    <row r="585" spans="1:9" ht="15">
      <c r="A585" s="1366"/>
      <c r="B585" s="1388"/>
      <c r="C585" s="1373"/>
      <c r="D585" s="1389"/>
      <c r="E585" s="1390"/>
      <c r="F585" s="1391"/>
      <c r="G585" s="1391"/>
      <c r="H585" s="1392"/>
      <c r="I585" s="1392"/>
    </row>
    <row r="586" spans="1:9" ht="15">
      <c r="A586" s="1366"/>
      <c r="B586" s="1388"/>
      <c r="C586" s="1373"/>
      <c r="D586" s="1389"/>
      <c r="E586" s="1390"/>
      <c r="F586" s="1391"/>
      <c r="G586" s="1391"/>
      <c r="H586" s="1392"/>
      <c r="I586" s="1392"/>
    </row>
    <row r="587" spans="1:9" ht="15">
      <c r="A587" s="1366"/>
      <c r="B587" s="1388"/>
      <c r="C587" s="1373"/>
      <c r="D587" s="1389"/>
      <c r="E587" s="1390"/>
      <c r="F587" s="1391"/>
      <c r="G587" s="1391"/>
      <c r="H587" s="1392"/>
      <c r="I587" s="1392"/>
    </row>
    <row r="588" spans="1:9" ht="15">
      <c r="A588" s="1366"/>
      <c r="B588" s="1388"/>
      <c r="C588" s="1373"/>
      <c r="D588" s="1389"/>
      <c r="E588" s="1390"/>
      <c r="F588" s="1391"/>
      <c r="G588" s="1391"/>
      <c r="H588" s="1392"/>
      <c r="I588" s="1392"/>
    </row>
    <row r="589" spans="1:9" ht="15">
      <c r="A589" s="1366"/>
      <c r="B589" s="1388"/>
      <c r="C589" s="1373"/>
      <c r="D589" s="1389"/>
      <c r="E589" s="1390"/>
      <c r="F589" s="1391"/>
      <c r="G589" s="1391"/>
      <c r="H589" s="1392"/>
      <c r="I589" s="1392"/>
    </row>
    <row r="590" spans="1:9" ht="15">
      <c r="A590" s="1366"/>
      <c r="B590" s="1388"/>
      <c r="C590" s="1373"/>
      <c r="D590" s="1389"/>
      <c r="E590" s="1390"/>
      <c r="F590" s="1391"/>
      <c r="G590" s="1391"/>
      <c r="H590" s="1392"/>
      <c r="I590" s="1392"/>
    </row>
    <row r="591" spans="1:9" ht="15">
      <c r="A591" s="1366"/>
      <c r="B591" s="1388"/>
      <c r="C591" s="1373"/>
      <c r="D591" s="1389"/>
      <c r="E591" s="1390"/>
      <c r="F591" s="1391"/>
      <c r="G591" s="1391"/>
      <c r="H591" s="1392"/>
      <c r="I591" s="1392"/>
    </row>
    <row r="592" spans="1:9" ht="15">
      <c r="A592" s="1366"/>
      <c r="B592" s="1388"/>
      <c r="C592" s="1373"/>
      <c r="D592" s="1389"/>
      <c r="E592" s="1390"/>
      <c r="F592" s="1391"/>
      <c r="G592" s="1391"/>
      <c r="H592" s="1392"/>
      <c r="I592" s="1392"/>
    </row>
    <row r="593" spans="1:9" ht="15">
      <c r="A593" s="1366"/>
      <c r="B593" s="1388"/>
      <c r="C593" s="1373"/>
      <c r="D593" s="1389"/>
      <c r="E593" s="1390"/>
      <c r="F593" s="1391"/>
      <c r="G593" s="1391"/>
      <c r="H593" s="1392"/>
      <c r="I593" s="1392"/>
    </row>
    <row r="594" spans="1:9" ht="15">
      <c r="A594" s="1366"/>
      <c r="B594" s="1388"/>
      <c r="C594" s="1373"/>
      <c r="D594" s="1389"/>
      <c r="E594" s="1390"/>
      <c r="F594" s="1391"/>
      <c r="G594" s="1391"/>
      <c r="H594" s="1392"/>
      <c r="I594" s="1392"/>
    </row>
    <row r="595" spans="1:9" ht="15">
      <c r="A595" s="1366"/>
      <c r="B595" s="1388"/>
      <c r="C595" s="1373"/>
      <c r="D595" s="1389"/>
      <c r="E595" s="1390"/>
      <c r="F595" s="1391"/>
      <c r="G595" s="1391"/>
      <c r="H595" s="1392"/>
      <c r="I595" s="1392"/>
    </row>
    <row r="596" spans="1:9" ht="15">
      <c r="A596" s="1366"/>
      <c r="B596" s="1388"/>
      <c r="C596" s="1373"/>
      <c r="D596" s="1389"/>
      <c r="E596" s="1390"/>
      <c r="F596" s="1391"/>
      <c r="G596" s="1391"/>
      <c r="H596" s="1392"/>
      <c r="I596" s="1392"/>
    </row>
    <row r="597" spans="1:9" ht="15">
      <c r="A597" s="1366"/>
      <c r="B597" s="1388"/>
      <c r="C597" s="1373"/>
      <c r="D597" s="1389"/>
      <c r="E597" s="1390"/>
      <c r="F597" s="1391"/>
      <c r="G597" s="1391"/>
      <c r="H597" s="1392"/>
      <c r="I597" s="1392"/>
    </row>
    <row r="598" spans="1:9" ht="15">
      <c r="A598" s="1366"/>
      <c r="B598" s="1388"/>
      <c r="C598" s="1373"/>
      <c r="D598" s="1389"/>
      <c r="E598" s="1390"/>
      <c r="F598" s="1391"/>
      <c r="G598" s="1391"/>
      <c r="H598" s="1392"/>
      <c r="I598" s="1392"/>
    </row>
    <row r="599" spans="1:9" ht="15">
      <c r="A599" s="1366"/>
      <c r="B599" s="1388"/>
      <c r="C599" s="1373"/>
      <c r="D599" s="1389"/>
      <c r="E599" s="1390"/>
      <c r="F599" s="1391"/>
      <c r="G599" s="1391"/>
      <c r="H599" s="1392"/>
      <c r="I599" s="1392"/>
    </row>
    <row r="600" spans="1:9" ht="15">
      <c r="A600" s="1366"/>
      <c r="B600" s="1388"/>
      <c r="C600" s="1373"/>
      <c r="D600" s="1389"/>
      <c r="E600" s="1390"/>
      <c r="F600" s="1391"/>
      <c r="G600" s="1391"/>
      <c r="H600" s="1392"/>
      <c r="I600" s="1392"/>
    </row>
    <row r="601" spans="1:9" ht="15">
      <c r="A601" s="1366"/>
      <c r="B601" s="1388"/>
      <c r="C601" s="1373"/>
      <c r="D601" s="1389"/>
      <c r="E601" s="1390"/>
      <c r="F601" s="1391"/>
      <c r="G601" s="1391"/>
      <c r="H601" s="1392"/>
      <c r="I601" s="1392"/>
    </row>
    <row r="602" spans="1:9" ht="15">
      <c r="A602" s="1366"/>
      <c r="B602" s="1388"/>
      <c r="C602" s="1373"/>
      <c r="D602" s="1389"/>
      <c r="E602" s="1390"/>
      <c r="F602" s="1391"/>
      <c r="G602" s="1391"/>
      <c r="H602" s="1392"/>
      <c r="I602" s="1392"/>
    </row>
    <row r="603" spans="1:9" ht="15">
      <c r="A603" s="1366"/>
      <c r="B603" s="1388"/>
      <c r="C603" s="1373"/>
      <c r="D603" s="1389"/>
      <c r="E603" s="1390"/>
      <c r="F603" s="1391"/>
      <c r="G603" s="1391"/>
      <c r="H603" s="1392"/>
      <c r="I603" s="1392"/>
    </row>
    <row r="604" spans="1:9" ht="15">
      <c r="A604" s="1366"/>
      <c r="B604" s="1388"/>
      <c r="C604" s="1373"/>
      <c r="D604" s="1389"/>
      <c r="E604" s="1390"/>
      <c r="F604" s="1391"/>
      <c r="G604" s="1391"/>
      <c r="H604" s="1392"/>
      <c r="I604" s="1392"/>
    </row>
    <row r="605" spans="1:9" ht="15">
      <c r="A605" s="1366"/>
      <c r="B605" s="1388"/>
      <c r="C605" s="1373"/>
      <c r="D605" s="1389"/>
      <c r="E605" s="1390"/>
      <c r="F605" s="1391"/>
      <c r="G605" s="1391"/>
      <c r="H605" s="1392"/>
      <c r="I605" s="1392"/>
    </row>
    <row r="606" spans="1:9" ht="15">
      <c r="A606" s="1366"/>
      <c r="B606" s="1388"/>
      <c r="C606" s="1373"/>
      <c r="D606" s="1389"/>
      <c r="E606" s="1390"/>
      <c r="F606" s="1391"/>
      <c r="G606" s="1391"/>
      <c r="H606" s="1392"/>
      <c r="I606" s="1392"/>
    </row>
    <row r="607" spans="1:9" ht="15">
      <c r="A607" s="1366"/>
      <c r="B607" s="1388"/>
      <c r="C607" s="1373"/>
      <c r="D607" s="1389"/>
      <c r="E607" s="1390"/>
      <c r="F607" s="1391"/>
      <c r="G607" s="1391"/>
      <c r="H607" s="1392"/>
      <c r="I607" s="1392"/>
    </row>
    <row r="608" spans="1:9" ht="15">
      <c r="A608" s="1366"/>
      <c r="B608" s="1388"/>
      <c r="C608" s="1373"/>
      <c r="D608" s="1389"/>
      <c r="E608" s="1390"/>
      <c r="F608" s="1391"/>
      <c r="G608" s="1391"/>
      <c r="H608" s="1392"/>
      <c r="I608" s="1392"/>
    </row>
    <row r="609" spans="1:9" ht="15">
      <c r="A609" s="1366"/>
      <c r="B609" s="1388"/>
      <c r="C609" s="1373"/>
      <c r="D609" s="1389"/>
      <c r="E609" s="1390"/>
      <c r="F609" s="1391"/>
      <c r="G609" s="1391"/>
      <c r="H609" s="1392"/>
      <c r="I609" s="1392"/>
    </row>
    <row r="610" spans="1:9" ht="15">
      <c r="A610" s="1366"/>
      <c r="B610" s="1388"/>
      <c r="C610" s="1373"/>
      <c r="D610" s="1389"/>
      <c r="E610" s="1390"/>
      <c r="F610" s="1391"/>
      <c r="G610" s="1391"/>
      <c r="H610" s="1392"/>
      <c r="I610" s="1392"/>
    </row>
    <row r="611" spans="1:9" ht="15">
      <c r="A611" s="1366"/>
      <c r="B611" s="1388"/>
      <c r="C611" s="1373"/>
      <c r="D611" s="1389"/>
      <c r="E611" s="1390"/>
      <c r="F611" s="1391"/>
      <c r="G611" s="1391"/>
      <c r="H611" s="1392"/>
      <c r="I611" s="1392"/>
    </row>
    <row r="612" spans="1:9" ht="15">
      <c r="A612" s="1366"/>
      <c r="B612" s="1388"/>
      <c r="C612" s="1373"/>
      <c r="D612" s="1389"/>
      <c r="E612" s="1390"/>
      <c r="F612" s="1391"/>
      <c r="G612" s="1391"/>
      <c r="H612" s="1392"/>
      <c r="I612" s="1392"/>
    </row>
    <row r="613" spans="1:9" ht="15">
      <c r="A613" s="1366"/>
      <c r="B613" s="1388"/>
      <c r="C613" s="1373"/>
      <c r="D613" s="1389"/>
      <c r="E613" s="1390"/>
      <c r="F613" s="1391"/>
      <c r="G613" s="1391"/>
      <c r="H613" s="1392"/>
      <c r="I613" s="1392"/>
    </row>
    <row r="614" spans="1:9" ht="15">
      <c r="A614" s="1366"/>
      <c r="B614" s="1388"/>
      <c r="C614" s="1373"/>
      <c r="D614" s="1389"/>
      <c r="E614" s="1390"/>
      <c r="F614" s="1391"/>
      <c r="G614" s="1391"/>
      <c r="H614" s="1392"/>
      <c r="I614" s="1392"/>
    </row>
    <row r="615" spans="1:9" ht="15">
      <c r="A615" s="1366"/>
      <c r="B615" s="1388"/>
      <c r="C615" s="1373"/>
      <c r="D615" s="1389"/>
      <c r="E615" s="1390"/>
      <c r="F615" s="1391"/>
      <c r="G615" s="1391"/>
      <c r="H615" s="1392"/>
      <c r="I615" s="1392"/>
    </row>
    <row r="616" spans="1:9" ht="15">
      <c r="A616" s="1366"/>
      <c r="B616" s="1388"/>
      <c r="C616" s="1373"/>
      <c r="D616" s="1389"/>
      <c r="E616" s="1390"/>
      <c r="F616" s="1391"/>
      <c r="G616" s="1391"/>
      <c r="H616" s="1392"/>
      <c r="I616" s="1392"/>
    </row>
    <row r="617" spans="1:9" ht="15">
      <c r="A617" s="1366"/>
      <c r="B617" s="1388"/>
      <c r="C617" s="1373"/>
      <c r="D617" s="1389"/>
      <c r="E617" s="1390"/>
      <c r="F617" s="1391"/>
      <c r="G617" s="1391"/>
      <c r="H617" s="1392"/>
      <c r="I617" s="1392"/>
    </row>
    <row r="618" spans="1:9" ht="15">
      <c r="A618" s="1366"/>
      <c r="B618" s="1388"/>
      <c r="C618" s="1373"/>
      <c r="D618" s="1389"/>
      <c r="E618" s="1390"/>
      <c r="F618" s="1391"/>
      <c r="G618" s="1391"/>
      <c r="H618" s="1392"/>
      <c r="I618" s="1392"/>
    </row>
    <row r="619" spans="1:9" ht="15">
      <c r="A619" s="1366"/>
      <c r="B619" s="1388"/>
      <c r="C619" s="1373"/>
      <c r="D619" s="1389"/>
      <c r="E619" s="1390"/>
      <c r="F619" s="1391"/>
      <c r="G619" s="1391"/>
      <c r="H619" s="1392"/>
      <c r="I619" s="1392"/>
    </row>
    <row r="620" spans="1:9" ht="15">
      <c r="A620" s="1366"/>
      <c r="B620" s="1388"/>
      <c r="C620" s="1373"/>
      <c r="D620" s="1389"/>
      <c r="E620" s="1390"/>
      <c r="F620" s="1391"/>
      <c r="G620" s="1391"/>
      <c r="H620" s="1392"/>
      <c r="I620" s="1392"/>
    </row>
    <row r="621" spans="1:9" ht="15">
      <c r="A621" s="1366"/>
      <c r="B621" s="1388"/>
      <c r="C621" s="1373"/>
      <c r="D621" s="1389"/>
      <c r="E621" s="1390"/>
      <c r="F621" s="1391"/>
      <c r="G621" s="1391"/>
      <c r="H621" s="1392"/>
      <c r="I621" s="1392"/>
    </row>
    <row r="622" spans="1:9" ht="15">
      <c r="A622" s="1366"/>
      <c r="B622" s="1388"/>
      <c r="C622" s="1373"/>
      <c r="D622" s="1389"/>
      <c r="E622" s="1390"/>
      <c r="F622" s="1391"/>
      <c r="G622" s="1391"/>
      <c r="H622" s="1392"/>
      <c r="I622" s="1392"/>
    </row>
    <row r="623" spans="1:9" ht="15">
      <c r="A623" s="1366"/>
      <c r="B623" s="1388"/>
      <c r="C623" s="1373"/>
      <c r="D623" s="1389"/>
      <c r="E623" s="1390"/>
      <c r="F623" s="1391"/>
      <c r="G623" s="1391"/>
      <c r="H623" s="1392"/>
      <c r="I623" s="1392"/>
    </row>
    <row r="624" spans="1:9" ht="15">
      <c r="A624" s="1366"/>
      <c r="B624" s="1388"/>
      <c r="C624" s="1373"/>
      <c r="D624" s="1389"/>
      <c r="E624" s="1390"/>
      <c r="F624" s="1391"/>
      <c r="G624" s="1391"/>
      <c r="H624" s="1392"/>
      <c r="I624" s="1392"/>
    </row>
    <row r="625" spans="1:9" ht="15">
      <c r="A625" s="1366"/>
      <c r="B625" s="1388"/>
      <c r="C625" s="1373"/>
      <c r="D625" s="1389"/>
      <c r="E625" s="1390"/>
      <c r="F625" s="1391"/>
      <c r="G625" s="1391"/>
      <c r="H625" s="1392"/>
      <c r="I625" s="1392"/>
    </row>
    <row r="626" spans="1:9" ht="15">
      <c r="A626" s="1366"/>
      <c r="B626" s="1388"/>
      <c r="C626" s="1373"/>
      <c r="D626" s="1389"/>
      <c r="E626" s="1390"/>
      <c r="F626" s="1391"/>
      <c r="G626" s="1391"/>
      <c r="H626" s="1392"/>
      <c r="I626" s="1392"/>
    </row>
    <row r="627" spans="1:9" ht="15">
      <c r="A627" s="1366"/>
      <c r="B627" s="1388"/>
      <c r="C627" s="1373"/>
      <c r="D627" s="1389"/>
      <c r="E627" s="1390"/>
      <c r="F627" s="1391"/>
      <c r="G627" s="1391"/>
      <c r="H627" s="1392"/>
      <c r="I627" s="1392"/>
    </row>
    <row r="628" spans="1:9" ht="15">
      <c r="A628" s="1366"/>
      <c r="B628" s="1388"/>
      <c r="C628" s="1373"/>
      <c r="D628" s="1389"/>
      <c r="E628" s="1390"/>
      <c r="F628" s="1391"/>
      <c r="G628" s="1391"/>
      <c r="H628" s="1392"/>
      <c r="I628" s="1392"/>
    </row>
    <row r="629" spans="1:9" ht="15">
      <c r="A629" s="1366"/>
      <c r="B629" s="1388"/>
      <c r="C629" s="1373"/>
      <c r="D629" s="1389"/>
      <c r="E629" s="1390"/>
      <c r="F629" s="1391"/>
      <c r="G629" s="1391"/>
      <c r="H629" s="1392"/>
      <c r="I629" s="1392"/>
    </row>
    <row r="630" spans="1:9" ht="15">
      <c r="A630" s="1366"/>
      <c r="B630" s="1388"/>
      <c r="C630" s="1373"/>
      <c r="D630" s="1389"/>
      <c r="E630" s="1390"/>
      <c r="F630" s="1391"/>
      <c r="G630" s="1391"/>
      <c r="H630" s="1392"/>
      <c r="I630" s="1392"/>
    </row>
    <row r="631" spans="1:9" ht="15">
      <c r="A631" s="1366"/>
      <c r="B631" s="1388"/>
      <c r="C631" s="1373"/>
      <c r="D631" s="1389"/>
      <c r="E631" s="1390"/>
      <c r="F631" s="1391"/>
      <c r="G631" s="1391"/>
      <c r="H631" s="1392"/>
      <c r="I631" s="1392"/>
    </row>
    <row r="632" spans="1:9" ht="15">
      <c r="A632" s="1366"/>
      <c r="B632" s="1388"/>
      <c r="C632" s="1373"/>
      <c r="D632" s="1389"/>
      <c r="E632" s="1390"/>
      <c r="F632" s="1391"/>
      <c r="G632" s="1391"/>
      <c r="H632" s="1392"/>
      <c r="I632" s="1392"/>
    </row>
    <row r="633" spans="1:9" ht="15">
      <c r="A633" s="1366"/>
      <c r="B633" s="1388"/>
      <c r="C633" s="1373"/>
      <c r="D633" s="1389"/>
      <c r="E633" s="1390"/>
      <c r="F633" s="1391"/>
      <c r="G633" s="1391"/>
      <c r="H633" s="1392"/>
      <c r="I633" s="1392"/>
    </row>
    <row r="634" spans="1:9" ht="15">
      <c r="A634" s="1366"/>
      <c r="B634" s="1388"/>
      <c r="C634" s="1373"/>
      <c r="D634" s="1389"/>
      <c r="E634" s="1390"/>
      <c r="F634" s="1391"/>
      <c r="G634" s="1391"/>
      <c r="H634" s="1392"/>
      <c r="I634" s="1392"/>
    </row>
    <row r="635" spans="1:9" ht="15">
      <c r="A635" s="1366"/>
      <c r="B635" s="1388"/>
      <c r="C635" s="1373"/>
      <c r="D635" s="1389"/>
      <c r="E635" s="1390"/>
      <c r="F635" s="1391"/>
      <c r="G635" s="1391"/>
      <c r="H635" s="1392"/>
      <c r="I635" s="1392"/>
    </row>
    <row r="636" spans="1:9" ht="15">
      <c r="A636" s="1366"/>
      <c r="B636" s="1388"/>
      <c r="C636" s="1373"/>
      <c r="D636" s="1389"/>
      <c r="E636" s="1390"/>
      <c r="F636" s="1391"/>
      <c r="G636" s="1391"/>
      <c r="H636" s="1392"/>
      <c r="I636" s="1392"/>
    </row>
    <row r="637" spans="1:9" ht="15">
      <c r="A637" s="1366"/>
      <c r="B637" s="1388"/>
      <c r="C637" s="1373"/>
      <c r="D637" s="1389"/>
      <c r="E637" s="1390"/>
      <c r="F637" s="1391"/>
      <c r="G637" s="1391"/>
      <c r="H637" s="1392"/>
      <c r="I637" s="1392"/>
    </row>
    <row r="638" spans="1:9" ht="15">
      <c r="A638" s="1366"/>
      <c r="B638" s="1388"/>
      <c r="C638" s="1373"/>
      <c r="D638" s="1389"/>
      <c r="E638" s="1390"/>
      <c r="F638" s="1391"/>
      <c r="G638" s="1391"/>
      <c r="H638" s="1392"/>
      <c r="I638" s="1392"/>
    </row>
    <row r="639" spans="1:9" ht="15">
      <c r="A639" s="1366"/>
      <c r="B639" s="1388"/>
      <c r="C639" s="1373"/>
      <c r="D639" s="1389"/>
      <c r="E639" s="1390"/>
      <c r="F639" s="1391"/>
      <c r="G639" s="1391"/>
      <c r="H639" s="1392"/>
      <c r="I639" s="1392"/>
    </row>
    <row r="640" spans="1:9" ht="15">
      <c r="A640" s="1366"/>
      <c r="B640" s="1388"/>
      <c r="C640" s="1373"/>
      <c r="D640" s="1389"/>
      <c r="E640" s="1390"/>
      <c r="F640" s="1391"/>
      <c r="G640" s="1391"/>
      <c r="H640" s="1392"/>
      <c r="I640" s="1392"/>
    </row>
    <row r="641" spans="1:9" ht="15">
      <c r="A641" s="1366"/>
      <c r="B641" s="1388"/>
      <c r="C641" s="1373"/>
      <c r="D641" s="1389"/>
      <c r="E641" s="1390"/>
      <c r="F641" s="1391"/>
      <c r="G641" s="1391"/>
      <c r="H641" s="1392"/>
      <c r="I641" s="1392"/>
    </row>
    <row r="642" spans="1:9" ht="15">
      <c r="A642" s="1366"/>
      <c r="B642" s="1388"/>
      <c r="C642" s="1373"/>
      <c r="D642" s="1389"/>
      <c r="E642" s="1390"/>
      <c r="F642" s="1391"/>
      <c r="G642" s="1391"/>
      <c r="H642" s="1392"/>
      <c r="I642" s="1392"/>
    </row>
    <row r="643" spans="1:9" ht="15">
      <c r="A643" s="1366"/>
      <c r="B643" s="1388"/>
      <c r="C643" s="1373"/>
      <c r="D643" s="1389"/>
      <c r="E643" s="1390"/>
      <c r="F643" s="1391"/>
      <c r="G643" s="1391"/>
      <c r="H643" s="1392"/>
      <c r="I643" s="1392"/>
    </row>
    <row r="644" spans="1:9" ht="15">
      <c r="A644" s="1366"/>
      <c r="B644" s="1388"/>
      <c r="C644" s="1373"/>
      <c r="D644" s="1389"/>
      <c r="E644" s="1390"/>
      <c r="F644" s="1391"/>
      <c r="G644" s="1391"/>
      <c r="H644" s="1392"/>
      <c r="I644" s="1392"/>
    </row>
    <row r="645" spans="1:9" ht="15">
      <c r="A645" s="1366"/>
      <c r="B645" s="1388"/>
      <c r="C645" s="1373"/>
      <c r="D645" s="1389"/>
      <c r="E645" s="1390"/>
      <c r="F645" s="1391"/>
      <c r="G645" s="1391"/>
      <c r="H645" s="1392"/>
      <c r="I645" s="1392"/>
    </row>
    <row r="646" spans="1:9" ht="15">
      <c r="A646" s="1366"/>
      <c r="B646" s="1388"/>
      <c r="C646" s="1373"/>
      <c r="D646" s="1389"/>
      <c r="E646" s="1390"/>
      <c r="F646" s="1391"/>
      <c r="G646" s="1391"/>
      <c r="H646" s="1392"/>
      <c r="I646" s="1392"/>
    </row>
    <row r="647" spans="1:9" ht="15">
      <c r="A647" s="1366"/>
      <c r="B647" s="1388"/>
      <c r="C647" s="1373"/>
      <c r="D647" s="1389"/>
      <c r="E647" s="1390"/>
      <c r="F647" s="1391"/>
      <c r="G647" s="1391"/>
      <c r="H647" s="1392"/>
      <c r="I647" s="1392"/>
    </row>
    <row r="648" spans="1:9" ht="15">
      <c r="A648" s="1366"/>
      <c r="B648" s="1388"/>
      <c r="C648" s="1373"/>
      <c r="D648" s="1389"/>
      <c r="E648" s="1390"/>
      <c r="F648" s="1391"/>
      <c r="G648" s="1391"/>
      <c r="H648" s="1392"/>
      <c r="I648" s="1392"/>
    </row>
    <row r="649" spans="1:9" ht="15">
      <c r="A649" s="1366"/>
      <c r="B649" s="1388"/>
      <c r="C649" s="1373"/>
      <c r="D649" s="1389"/>
      <c r="E649" s="1390"/>
      <c r="F649" s="1391"/>
      <c r="G649" s="1391"/>
      <c r="H649" s="1392"/>
      <c r="I649" s="1392"/>
    </row>
    <row r="650" spans="1:9" ht="15">
      <c r="A650" s="1366"/>
      <c r="B650" s="1388"/>
      <c r="C650" s="1373"/>
      <c r="D650" s="1389"/>
      <c r="E650" s="1390"/>
      <c r="F650" s="1391"/>
      <c r="G650" s="1391"/>
      <c r="H650" s="1392"/>
      <c r="I650" s="1392"/>
    </row>
    <row r="651" spans="1:9" ht="15">
      <c r="A651" s="1366"/>
      <c r="B651" s="1388"/>
      <c r="C651" s="1373"/>
      <c r="D651" s="1389"/>
      <c r="E651" s="1390"/>
      <c r="F651" s="1391"/>
      <c r="G651" s="1391"/>
      <c r="H651" s="1392"/>
      <c r="I651" s="1392"/>
    </row>
    <row r="652" spans="1:9" ht="15">
      <c r="A652" s="1366"/>
      <c r="B652" s="1388"/>
      <c r="C652" s="1373"/>
      <c r="D652" s="1389"/>
      <c r="E652" s="1390"/>
      <c r="F652" s="1391"/>
      <c r="G652" s="1391"/>
      <c r="H652" s="1392"/>
      <c r="I652" s="1392"/>
    </row>
    <row r="653" spans="1:9" ht="15">
      <c r="A653" s="1366"/>
      <c r="B653" s="1388"/>
      <c r="C653" s="1373"/>
      <c r="D653" s="1389"/>
      <c r="E653" s="1390"/>
      <c r="F653" s="1391"/>
      <c r="G653" s="1391"/>
      <c r="H653" s="1392"/>
      <c r="I653" s="1392"/>
    </row>
    <row r="654" spans="1:9" ht="15">
      <c r="A654" s="1366"/>
      <c r="B654" s="1388"/>
      <c r="C654" s="1373"/>
      <c r="D654" s="1389"/>
      <c r="E654" s="1390"/>
      <c r="F654" s="1391"/>
      <c r="G654" s="1391"/>
      <c r="H654" s="1392"/>
      <c r="I654" s="1392"/>
    </row>
    <row r="655" spans="1:9" ht="15">
      <c r="A655" s="1366"/>
      <c r="B655" s="1388"/>
      <c r="C655" s="1373"/>
      <c r="D655" s="1389"/>
      <c r="E655" s="1390"/>
      <c r="F655" s="1391"/>
      <c r="G655" s="1391"/>
      <c r="H655" s="1392"/>
      <c r="I655" s="1392"/>
    </row>
    <row r="656" spans="1:9" ht="15">
      <c r="A656" s="1366"/>
      <c r="B656" s="1388"/>
      <c r="C656" s="1373"/>
      <c r="D656" s="1389"/>
      <c r="E656" s="1390"/>
      <c r="F656" s="1391"/>
      <c r="G656" s="1391"/>
      <c r="H656" s="1392"/>
      <c r="I656" s="1392"/>
    </row>
    <row r="657" spans="1:9" ht="15">
      <c r="A657" s="1366"/>
      <c r="B657" s="1388"/>
      <c r="C657" s="1373"/>
      <c r="D657" s="1389"/>
      <c r="E657" s="1390"/>
      <c r="F657" s="1391"/>
      <c r="G657" s="1391"/>
      <c r="H657" s="1392"/>
      <c r="I657" s="1392"/>
    </row>
    <row r="658" spans="1:9" ht="15">
      <c r="A658" s="1366"/>
      <c r="B658" s="1388"/>
      <c r="C658" s="1373"/>
      <c r="D658" s="1389"/>
      <c r="E658" s="1390"/>
      <c r="F658" s="1391"/>
      <c r="G658" s="1391"/>
      <c r="H658" s="1392"/>
      <c r="I658" s="1392"/>
    </row>
    <row r="659" spans="1:9" ht="15">
      <c r="A659" s="1366"/>
      <c r="B659" s="1388"/>
      <c r="C659" s="1373"/>
      <c r="D659" s="1389"/>
      <c r="E659" s="1390"/>
      <c r="F659" s="1391"/>
      <c r="G659" s="1391"/>
      <c r="H659" s="1392"/>
      <c r="I659" s="1392"/>
    </row>
    <row r="660" spans="1:9" ht="15">
      <c r="A660" s="1366"/>
      <c r="B660" s="1388"/>
      <c r="C660" s="1373"/>
      <c r="D660" s="1389"/>
      <c r="E660" s="1390"/>
      <c r="F660" s="1391"/>
      <c r="G660" s="1391"/>
      <c r="H660" s="1392"/>
      <c r="I660" s="1392"/>
    </row>
    <row r="661" spans="1:9" ht="15">
      <c r="A661" s="1366"/>
      <c r="B661" s="1388"/>
      <c r="C661" s="1373"/>
      <c r="D661" s="1389"/>
      <c r="E661" s="1390"/>
      <c r="F661" s="1391"/>
      <c r="G661" s="1391"/>
      <c r="H661" s="1392"/>
      <c r="I661" s="1392"/>
    </row>
    <row r="662" spans="1:9" ht="15">
      <c r="A662" s="1366"/>
      <c r="B662" s="1388"/>
      <c r="C662" s="1373"/>
      <c r="D662" s="1389"/>
      <c r="E662" s="1390"/>
      <c r="F662" s="1391"/>
      <c r="G662" s="1391"/>
      <c r="H662" s="1392"/>
      <c r="I662" s="1392"/>
    </row>
    <row r="663" spans="1:9" ht="15">
      <c r="A663" s="1366"/>
      <c r="B663" s="1388"/>
      <c r="C663" s="1373"/>
      <c r="D663" s="1389"/>
      <c r="E663" s="1390"/>
      <c r="F663" s="1391"/>
      <c r="G663" s="1391"/>
      <c r="H663" s="1392"/>
      <c r="I663" s="1392"/>
    </row>
    <row r="664" spans="1:9" ht="15">
      <c r="A664" s="1366"/>
      <c r="B664" s="1388"/>
      <c r="C664" s="1373"/>
      <c r="D664" s="1389"/>
      <c r="E664" s="1390"/>
      <c r="F664" s="1391"/>
      <c r="G664" s="1391"/>
      <c r="H664" s="1392"/>
      <c r="I664" s="1392"/>
    </row>
    <row r="665" spans="1:9" ht="15">
      <c r="A665" s="1366"/>
      <c r="B665" s="1388"/>
      <c r="C665" s="1373"/>
      <c r="D665" s="1389"/>
      <c r="E665" s="1390"/>
      <c r="F665" s="1391"/>
      <c r="G665" s="1391"/>
      <c r="H665" s="1392"/>
      <c r="I665" s="1392"/>
    </row>
    <row r="666" spans="1:9" ht="15">
      <c r="A666" s="1366"/>
      <c r="B666" s="1388"/>
      <c r="C666" s="1373"/>
      <c r="D666" s="1389"/>
      <c r="E666" s="1390"/>
      <c r="F666" s="1391"/>
      <c r="G666" s="1391"/>
      <c r="H666" s="1392"/>
      <c r="I666" s="1392"/>
    </row>
    <row r="667" spans="1:9" ht="15">
      <c r="A667" s="1366"/>
      <c r="B667" s="1388"/>
      <c r="C667" s="1373"/>
      <c r="D667" s="1389"/>
      <c r="E667" s="1390"/>
      <c r="F667" s="1391"/>
      <c r="G667" s="1391"/>
      <c r="H667" s="1392"/>
      <c r="I667" s="1392"/>
    </row>
    <row r="668" spans="1:9" ht="15">
      <c r="A668" s="1366"/>
      <c r="B668" s="1388"/>
      <c r="C668" s="1373"/>
      <c r="D668" s="1389"/>
      <c r="E668" s="1390"/>
      <c r="F668" s="1391"/>
      <c r="G668" s="1391"/>
      <c r="H668" s="1392"/>
      <c r="I668" s="1392"/>
    </row>
    <row r="669" spans="1:9" ht="15">
      <c r="A669" s="1366"/>
      <c r="B669" s="1388"/>
      <c r="C669" s="1373"/>
      <c r="D669" s="1389"/>
      <c r="E669" s="1390"/>
      <c r="F669" s="1391"/>
      <c r="G669" s="1391"/>
      <c r="H669" s="1392"/>
      <c r="I669" s="1392"/>
    </row>
    <row r="670" spans="1:9" ht="15">
      <c r="A670" s="1366"/>
      <c r="B670" s="1388"/>
      <c r="C670" s="1373"/>
      <c r="D670" s="1389"/>
      <c r="E670" s="1390"/>
      <c r="F670" s="1391"/>
      <c r="G670" s="1391"/>
      <c r="H670" s="1392"/>
      <c r="I670" s="1392"/>
    </row>
    <row r="671" spans="1:9" ht="15">
      <c r="A671" s="1366"/>
      <c r="B671" s="1388"/>
      <c r="C671" s="1373"/>
      <c r="D671" s="1389"/>
      <c r="E671" s="1390"/>
      <c r="F671" s="1391"/>
      <c r="G671" s="1391"/>
      <c r="H671" s="1392"/>
      <c r="I671" s="1392"/>
    </row>
    <row r="672" spans="1:9" ht="15">
      <c r="A672" s="1366"/>
      <c r="B672" s="1388"/>
      <c r="C672" s="1373"/>
      <c r="D672" s="1389"/>
      <c r="E672" s="1390"/>
      <c r="F672" s="1391"/>
      <c r="G672" s="1391"/>
      <c r="H672" s="1392"/>
      <c r="I672" s="1392"/>
    </row>
    <row r="673" spans="1:9" ht="15">
      <c r="A673" s="1366"/>
      <c r="B673" s="1388"/>
      <c r="C673" s="1373"/>
      <c r="D673" s="1389"/>
      <c r="E673" s="1390"/>
      <c r="F673" s="1391"/>
      <c r="G673" s="1391"/>
      <c r="H673" s="1392"/>
      <c r="I673" s="1392"/>
    </row>
    <row r="674" spans="1:9" ht="15">
      <c r="A674" s="1366"/>
      <c r="B674" s="1388"/>
      <c r="C674" s="1373"/>
      <c r="D674" s="1389"/>
      <c r="E674" s="1390"/>
      <c r="F674" s="1391"/>
      <c r="G674" s="1391"/>
      <c r="H674" s="1392"/>
      <c r="I674" s="1392"/>
    </row>
    <row r="675" spans="1:9" ht="15">
      <c r="A675" s="1366"/>
      <c r="B675" s="1388"/>
      <c r="C675" s="1373"/>
      <c r="D675" s="1389"/>
      <c r="E675" s="1390"/>
      <c r="F675" s="1391"/>
      <c r="G675" s="1391"/>
      <c r="H675" s="1392"/>
      <c r="I675" s="1392"/>
    </row>
    <row r="676" spans="1:9" ht="15">
      <c r="A676" s="1366"/>
      <c r="B676" s="1388"/>
      <c r="C676" s="1373"/>
      <c r="D676" s="1389"/>
      <c r="E676" s="1390"/>
      <c r="F676" s="1391"/>
      <c r="G676" s="1391"/>
      <c r="H676" s="1392"/>
      <c r="I676" s="1392"/>
    </row>
    <row r="677" spans="1:9" ht="15">
      <c r="A677" s="1366"/>
      <c r="B677" s="1388"/>
      <c r="C677" s="1373"/>
      <c r="D677" s="1389"/>
      <c r="E677" s="1390"/>
      <c r="F677" s="1391"/>
      <c r="G677" s="1391"/>
      <c r="H677" s="1392"/>
      <c r="I677" s="1392"/>
    </row>
    <row r="678" spans="1:9" ht="15">
      <c r="A678" s="1366"/>
      <c r="B678" s="1388"/>
      <c r="C678" s="1373"/>
      <c r="D678" s="1389"/>
      <c r="E678" s="1390"/>
      <c r="F678" s="1391"/>
      <c r="G678" s="1391"/>
      <c r="H678" s="1392"/>
      <c r="I678" s="1392"/>
    </row>
    <row r="679" spans="1:9" ht="15">
      <c r="A679" s="1366"/>
      <c r="B679" s="1388"/>
      <c r="C679" s="1373"/>
      <c r="D679" s="1389"/>
      <c r="E679" s="1390"/>
      <c r="F679" s="1391"/>
      <c r="G679" s="1391"/>
      <c r="H679" s="1392"/>
      <c r="I679" s="1392"/>
    </row>
    <row r="680" spans="1:9" ht="15">
      <c r="A680" s="1366"/>
      <c r="B680" s="1388"/>
      <c r="C680" s="1373"/>
      <c r="D680" s="1389"/>
      <c r="E680" s="1390"/>
      <c r="F680" s="1391"/>
      <c r="G680" s="1391"/>
      <c r="H680" s="1392"/>
      <c r="I680" s="1392"/>
    </row>
    <row r="681" spans="1:9" ht="15">
      <c r="A681" s="1366"/>
      <c r="B681" s="1388"/>
      <c r="C681" s="1373"/>
      <c r="D681" s="1389"/>
      <c r="E681" s="1390"/>
      <c r="F681" s="1391"/>
      <c r="G681" s="1391"/>
      <c r="H681" s="1392"/>
      <c r="I681" s="1392"/>
    </row>
    <row r="682" spans="1:9" ht="15">
      <c r="A682" s="1366"/>
      <c r="B682" s="1388"/>
      <c r="C682" s="1373"/>
      <c r="D682" s="1389"/>
      <c r="E682" s="1390"/>
      <c r="F682" s="1391"/>
      <c r="G682" s="1391"/>
      <c r="H682" s="1392"/>
      <c r="I682" s="1392"/>
    </row>
    <row r="683" spans="1:9" ht="15">
      <c r="A683" s="1366"/>
      <c r="B683" s="1388"/>
      <c r="C683" s="1373"/>
      <c r="D683" s="1389"/>
      <c r="E683" s="1390"/>
      <c r="F683" s="1391"/>
      <c r="G683" s="1391"/>
      <c r="H683" s="1392"/>
      <c r="I683" s="1392"/>
    </row>
    <row r="684" spans="1:9" ht="15">
      <c r="A684" s="1366"/>
      <c r="B684" s="1388"/>
      <c r="C684" s="1373"/>
      <c r="D684" s="1389"/>
      <c r="E684" s="1390"/>
      <c r="F684" s="1391"/>
      <c r="G684" s="1391"/>
      <c r="H684" s="1392"/>
      <c r="I684" s="1392"/>
    </row>
    <row r="685" spans="1:9" ht="15">
      <c r="A685" s="1366"/>
      <c r="B685" s="1388"/>
      <c r="C685" s="1373"/>
      <c r="D685" s="1389"/>
      <c r="E685" s="1390"/>
      <c r="F685" s="1391"/>
      <c r="G685" s="1391"/>
      <c r="H685" s="1392"/>
      <c r="I685" s="1392"/>
    </row>
    <row r="686" spans="1:9" ht="15">
      <c r="A686" s="1366"/>
      <c r="B686" s="1388"/>
      <c r="C686" s="1373"/>
      <c r="D686" s="1389"/>
      <c r="E686" s="1390"/>
      <c r="F686" s="1391"/>
      <c r="G686" s="1391"/>
      <c r="H686" s="1392"/>
      <c r="I686" s="1392"/>
    </row>
    <row r="687" spans="1:9" ht="15">
      <c r="A687" s="1366"/>
      <c r="B687" s="1388"/>
      <c r="C687" s="1373"/>
      <c r="D687" s="1389"/>
      <c r="E687" s="1390"/>
      <c r="F687" s="1391"/>
      <c r="G687" s="1391"/>
      <c r="H687" s="1392"/>
      <c r="I687" s="1392"/>
    </row>
    <row r="688" spans="1:9" ht="15">
      <c r="A688" s="1366"/>
      <c r="B688" s="1388"/>
      <c r="C688" s="1373"/>
      <c r="D688" s="1389"/>
      <c r="E688" s="1390"/>
      <c r="F688" s="1391"/>
      <c r="G688" s="1391"/>
      <c r="H688" s="1392"/>
      <c r="I688" s="1392"/>
    </row>
    <row r="689" spans="1:9" ht="15">
      <c r="A689" s="1366"/>
      <c r="B689" s="1388"/>
      <c r="C689" s="1373"/>
      <c r="D689" s="1389"/>
      <c r="E689" s="1390"/>
      <c r="F689" s="1391"/>
      <c r="G689" s="1391"/>
      <c r="H689" s="1392"/>
      <c r="I689" s="1392"/>
    </row>
    <row r="690" spans="1:9" ht="15">
      <c r="A690" s="1366"/>
      <c r="B690" s="1388"/>
      <c r="C690" s="1373"/>
      <c r="D690" s="1389"/>
      <c r="E690" s="1390"/>
      <c r="F690" s="1391"/>
      <c r="G690" s="1391"/>
      <c r="H690" s="1392"/>
      <c r="I690" s="1392"/>
    </row>
    <row r="691" spans="1:9" ht="15">
      <c r="A691" s="1366"/>
      <c r="B691" s="1388"/>
      <c r="C691" s="1373"/>
      <c r="D691" s="1389"/>
      <c r="E691" s="1390"/>
      <c r="F691" s="1391"/>
      <c r="G691" s="1391"/>
      <c r="H691" s="1392"/>
      <c r="I691" s="1392"/>
    </row>
    <row r="692" spans="1:9" ht="15">
      <c r="A692" s="1366"/>
      <c r="B692" s="1388"/>
      <c r="C692" s="1373"/>
      <c r="D692" s="1389"/>
      <c r="E692" s="1390"/>
      <c r="F692" s="1391"/>
      <c r="G692" s="1391"/>
      <c r="H692" s="1392"/>
      <c r="I692" s="1392"/>
    </row>
    <row r="693" spans="1:9" ht="15">
      <c r="A693" s="1366"/>
      <c r="B693" s="1388"/>
      <c r="C693" s="1373"/>
      <c r="D693" s="1389"/>
      <c r="E693" s="1390"/>
      <c r="F693" s="1391"/>
      <c r="G693" s="1391"/>
      <c r="H693" s="1392"/>
      <c r="I693" s="1392"/>
    </row>
    <row r="694" spans="1:9" ht="15">
      <c r="A694" s="1366"/>
      <c r="B694" s="1388"/>
      <c r="C694" s="1373"/>
      <c r="D694" s="1389"/>
      <c r="E694" s="1390"/>
      <c r="F694" s="1391"/>
      <c r="G694" s="1391"/>
      <c r="H694" s="1392"/>
      <c r="I694" s="1392"/>
    </row>
    <row r="695" spans="1:9" ht="15">
      <c r="A695" s="1366"/>
      <c r="B695" s="1388"/>
      <c r="C695" s="1373"/>
      <c r="D695" s="1389"/>
      <c r="E695" s="1390"/>
      <c r="F695" s="1391"/>
      <c r="G695" s="1391"/>
      <c r="H695" s="1392"/>
      <c r="I695" s="1392"/>
    </row>
    <row r="696" spans="1:9" ht="15">
      <c r="A696" s="1366"/>
      <c r="B696" s="1388"/>
      <c r="C696" s="1373"/>
      <c r="D696" s="1389"/>
      <c r="E696" s="1390"/>
      <c r="F696" s="1391"/>
      <c r="G696" s="1391"/>
      <c r="H696" s="1392"/>
      <c r="I696" s="1392"/>
    </row>
    <row r="697" spans="1:9" ht="15">
      <c r="A697" s="1366"/>
      <c r="B697" s="1388"/>
      <c r="C697" s="1373"/>
      <c r="D697" s="1389"/>
      <c r="E697" s="1390"/>
      <c r="F697" s="1391"/>
      <c r="G697" s="1391"/>
      <c r="H697" s="1392"/>
      <c r="I697" s="1392"/>
    </row>
    <row r="698" spans="1:9" ht="15">
      <c r="A698" s="1366"/>
      <c r="B698" s="1388"/>
      <c r="C698" s="1373"/>
      <c r="D698" s="1389"/>
      <c r="E698" s="1390"/>
      <c r="F698" s="1391"/>
      <c r="G698" s="1391"/>
      <c r="H698" s="1392"/>
      <c r="I698" s="1392"/>
    </row>
    <row r="699" spans="1:9" ht="15">
      <c r="A699" s="1366"/>
      <c r="B699" s="1388"/>
      <c r="C699" s="1373"/>
      <c r="D699" s="1389"/>
      <c r="E699" s="1390"/>
      <c r="F699" s="1391"/>
      <c r="G699" s="1391"/>
      <c r="H699" s="1392"/>
      <c r="I699" s="1392"/>
    </row>
    <row r="700" spans="1:9" ht="15">
      <c r="A700" s="1366"/>
      <c r="B700" s="1388"/>
      <c r="C700" s="1373"/>
      <c r="D700" s="1389"/>
      <c r="E700" s="1390"/>
      <c r="F700" s="1391"/>
      <c r="G700" s="1391"/>
      <c r="H700" s="1392"/>
      <c r="I700" s="1392"/>
    </row>
    <row r="701" spans="1:9" ht="15">
      <c r="A701" s="1366"/>
      <c r="B701" s="1388"/>
      <c r="C701" s="1373"/>
      <c r="D701" s="1389"/>
      <c r="E701" s="1390"/>
      <c r="F701" s="1391"/>
      <c r="G701" s="1391"/>
      <c r="H701" s="1392"/>
      <c r="I701" s="1392"/>
    </row>
    <row r="702" spans="1:9" ht="15">
      <c r="A702" s="1366"/>
      <c r="B702" s="1388"/>
      <c r="C702" s="1373"/>
      <c r="D702" s="1389"/>
      <c r="E702" s="1390"/>
      <c r="F702" s="1391"/>
      <c r="G702" s="1391"/>
      <c r="H702" s="1392"/>
      <c r="I702" s="1392"/>
    </row>
    <row r="703" spans="1:9" ht="15">
      <c r="A703" s="1366"/>
      <c r="B703" s="1388"/>
      <c r="C703" s="1373"/>
      <c r="D703" s="1389"/>
      <c r="E703" s="1390"/>
      <c r="F703" s="1391"/>
      <c r="G703" s="1391"/>
      <c r="H703" s="1392"/>
      <c r="I703" s="1392"/>
    </row>
    <row r="704" spans="1:9" ht="15">
      <c r="A704" s="1366"/>
      <c r="B704" s="1388"/>
      <c r="C704" s="1373"/>
      <c r="D704" s="1389"/>
      <c r="E704" s="1390"/>
      <c r="F704" s="1391"/>
      <c r="G704" s="1391"/>
      <c r="H704" s="1392"/>
      <c r="I704" s="1392"/>
    </row>
    <row r="705" spans="1:9" ht="15">
      <c r="A705" s="1366"/>
      <c r="B705" s="1388"/>
      <c r="C705" s="1373"/>
      <c r="D705" s="1389"/>
      <c r="E705" s="1390"/>
      <c r="F705" s="1391"/>
      <c r="G705" s="1391"/>
      <c r="H705" s="1392"/>
      <c r="I705" s="1392"/>
    </row>
    <row r="706" spans="1:9" ht="15">
      <c r="A706" s="1366"/>
      <c r="B706" s="1388"/>
      <c r="C706" s="1373"/>
      <c r="D706" s="1389"/>
      <c r="E706" s="1390"/>
      <c r="F706" s="1391"/>
      <c r="G706" s="1391"/>
      <c r="H706" s="1392"/>
      <c r="I706" s="1392"/>
    </row>
    <row r="707" spans="1:9" ht="15">
      <c r="A707" s="1366"/>
      <c r="B707" s="1388"/>
      <c r="C707" s="1373"/>
      <c r="D707" s="1389"/>
      <c r="E707" s="1390"/>
      <c r="F707" s="1391"/>
      <c r="G707" s="1391"/>
      <c r="H707" s="1392"/>
      <c r="I707" s="1392"/>
    </row>
    <row r="708" spans="1:9" ht="15">
      <c r="A708" s="1366"/>
      <c r="B708" s="1388"/>
      <c r="C708" s="1373"/>
      <c r="D708" s="1389"/>
      <c r="E708" s="1390"/>
      <c r="F708" s="1391"/>
      <c r="G708" s="1391"/>
      <c r="H708" s="1392"/>
      <c r="I708" s="1392"/>
    </row>
    <row r="709" spans="1:9" ht="15">
      <c r="A709" s="1366"/>
      <c r="B709" s="1388"/>
      <c r="C709" s="1373"/>
      <c r="D709" s="1389"/>
      <c r="E709" s="1390"/>
      <c r="F709" s="1391"/>
      <c r="G709" s="1391"/>
      <c r="H709" s="1392"/>
      <c r="I709" s="1392"/>
    </row>
    <row r="710" spans="1:9" ht="15">
      <c r="A710" s="1366"/>
      <c r="B710" s="1388"/>
      <c r="C710" s="1373"/>
      <c r="D710" s="1389"/>
      <c r="E710" s="1390"/>
      <c r="F710" s="1391"/>
      <c r="G710" s="1391"/>
      <c r="H710" s="1392"/>
      <c r="I710" s="1392"/>
    </row>
    <row r="711" spans="1:9" ht="15">
      <c r="A711" s="1366"/>
      <c r="B711" s="1388"/>
      <c r="C711" s="1373"/>
      <c r="D711" s="1389"/>
      <c r="E711" s="1390"/>
      <c r="F711" s="1391"/>
      <c r="G711" s="1391"/>
      <c r="H711" s="1392"/>
      <c r="I711" s="1392"/>
    </row>
    <row r="712" spans="1:9" ht="15">
      <c r="A712" s="1366"/>
      <c r="B712" s="1388"/>
      <c r="C712" s="1373"/>
      <c r="D712" s="1389"/>
      <c r="E712" s="1390"/>
      <c r="F712" s="1391"/>
      <c r="G712" s="1391"/>
      <c r="H712" s="1392"/>
      <c r="I712" s="1392"/>
    </row>
    <row r="713" spans="1:9" ht="15">
      <c r="A713" s="1366"/>
      <c r="B713" s="1388"/>
      <c r="C713" s="1373"/>
      <c r="D713" s="1389"/>
      <c r="E713" s="1390"/>
      <c r="F713" s="1391"/>
      <c r="G713" s="1391"/>
      <c r="H713" s="1392"/>
      <c r="I713" s="1392"/>
    </row>
    <row r="714" spans="1:9" ht="15">
      <c r="A714" s="1366"/>
      <c r="B714" s="1388"/>
      <c r="C714" s="1373"/>
      <c r="D714" s="1389"/>
      <c r="E714" s="1390"/>
      <c r="F714" s="1391"/>
      <c r="G714" s="1391"/>
      <c r="H714" s="1392"/>
      <c r="I714" s="1392"/>
    </row>
    <row r="715" spans="1:9" ht="15">
      <c r="A715" s="1366"/>
      <c r="B715" s="1388"/>
      <c r="C715" s="1373"/>
      <c r="D715" s="1389"/>
      <c r="E715" s="1390"/>
      <c r="F715" s="1391"/>
      <c r="G715" s="1391"/>
      <c r="H715" s="1392"/>
      <c r="I715" s="1392"/>
    </row>
    <row r="716" spans="1:9" ht="15">
      <c r="A716" s="1366"/>
      <c r="B716" s="1388"/>
      <c r="C716" s="1373"/>
      <c r="D716" s="1389"/>
      <c r="E716" s="1390"/>
      <c r="F716" s="1391"/>
      <c r="G716" s="1391"/>
      <c r="H716" s="1392"/>
      <c r="I716" s="1392"/>
    </row>
    <row r="717" spans="1:9" ht="15">
      <c r="A717" s="1366"/>
      <c r="B717" s="1388"/>
      <c r="C717" s="1373"/>
      <c r="D717" s="1389"/>
      <c r="E717" s="1390"/>
      <c r="F717" s="1391"/>
      <c r="G717" s="1391"/>
      <c r="H717" s="1392"/>
      <c r="I717" s="1392"/>
    </row>
    <row r="718" spans="1:9" ht="15">
      <c r="A718" s="1366"/>
      <c r="B718" s="1388"/>
      <c r="C718" s="1373"/>
      <c r="D718" s="1389"/>
      <c r="E718" s="1390"/>
      <c r="F718" s="1391"/>
      <c r="G718" s="1391"/>
      <c r="H718" s="1392"/>
      <c r="I718" s="1392"/>
    </row>
    <row r="719" spans="1:9" ht="15">
      <c r="A719" s="1366"/>
      <c r="B719" s="1388"/>
      <c r="C719" s="1373"/>
      <c r="D719" s="1389"/>
      <c r="E719" s="1390"/>
      <c r="F719" s="1391"/>
      <c r="G719" s="1391"/>
      <c r="H719" s="1392"/>
      <c r="I719" s="1392"/>
    </row>
    <row r="720" spans="1:9" ht="15">
      <c r="A720" s="1366"/>
      <c r="B720" s="1388"/>
      <c r="C720" s="1373"/>
      <c r="D720" s="1389"/>
      <c r="E720" s="1390"/>
      <c r="F720" s="1391"/>
      <c r="G720" s="1391"/>
      <c r="H720" s="1392"/>
      <c r="I720" s="1392"/>
    </row>
    <row r="721" spans="1:9" ht="15">
      <c r="A721" s="1366"/>
      <c r="B721" s="1388"/>
      <c r="C721" s="1373"/>
      <c r="D721" s="1389"/>
      <c r="E721" s="1390"/>
      <c r="F721" s="1391"/>
      <c r="G721" s="1391"/>
      <c r="H721" s="1392"/>
      <c r="I721" s="1392"/>
    </row>
    <row r="722" spans="1:9" ht="15">
      <c r="A722" s="1366"/>
      <c r="B722" s="1388"/>
      <c r="C722" s="1373"/>
      <c r="D722" s="1389"/>
      <c r="E722" s="1390"/>
      <c r="F722" s="1391"/>
      <c r="G722" s="1391"/>
      <c r="H722" s="1392"/>
      <c r="I722" s="1392"/>
    </row>
    <row r="723" spans="1:9" ht="15">
      <c r="A723" s="1366"/>
      <c r="B723" s="1388"/>
      <c r="C723" s="1373"/>
      <c r="D723" s="1389"/>
      <c r="E723" s="1390"/>
      <c r="F723" s="1391"/>
      <c r="G723" s="1391"/>
      <c r="H723" s="1392"/>
      <c r="I723" s="1392"/>
    </row>
    <row r="724" spans="1:9" ht="15">
      <c r="A724" s="1366"/>
      <c r="B724" s="1388"/>
      <c r="C724" s="1373"/>
      <c r="D724" s="1389"/>
      <c r="E724" s="1390"/>
      <c r="F724" s="1391"/>
      <c r="G724" s="1391"/>
      <c r="H724" s="1392"/>
      <c r="I724" s="1392"/>
    </row>
    <row r="725" spans="1:9" ht="15">
      <c r="A725" s="1366"/>
      <c r="B725" s="1388"/>
      <c r="C725" s="1373"/>
      <c r="D725" s="1389"/>
      <c r="E725" s="1390"/>
      <c r="F725" s="1391"/>
      <c r="G725" s="1391"/>
      <c r="H725" s="1392"/>
      <c r="I725" s="1392"/>
    </row>
    <row r="726" spans="1:9" ht="15">
      <c r="A726" s="1366"/>
      <c r="B726" s="1388"/>
      <c r="C726" s="1373"/>
      <c r="D726" s="1389"/>
      <c r="E726" s="1390"/>
      <c r="F726" s="1391"/>
      <c r="G726" s="1391"/>
      <c r="H726" s="1392"/>
      <c r="I726" s="1392"/>
    </row>
    <row r="727" spans="1:9" ht="15">
      <c r="A727" s="1366"/>
      <c r="B727" s="1388"/>
      <c r="C727" s="1373"/>
      <c r="D727" s="1389"/>
      <c r="E727" s="1390"/>
      <c r="F727" s="1391"/>
      <c r="G727" s="1391"/>
      <c r="H727" s="1392"/>
      <c r="I727" s="1392"/>
    </row>
    <row r="728" spans="1:9" ht="15">
      <c r="A728" s="1366"/>
      <c r="B728" s="1388"/>
      <c r="C728" s="1373"/>
      <c r="D728" s="1389"/>
      <c r="E728" s="1390"/>
      <c r="F728" s="1391"/>
      <c r="G728" s="1391"/>
      <c r="H728" s="1392"/>
      <c r="I728" s="1392"/>
    </row>
    <row r="729" spans="1:9" ht="15">
      <c r="A729" s="1366"/>
      <c r="B729" s="1388"/>
      <c r="C729" s="1373"/>
      <c r="D729" s="1389"/>
      <c r="E729" s="1390"/>
      <c r="F729" s="1391"/>
      <c r="G729" s="1391"/>
      <c r="H729" s="1392"/>
      <c r="I729" s="1392"/>
    </row>
    <row r="730" spans="1:9" ht="15">
      <c r="A730" s="1366"/>
      <c r="B730" s="1388"/>
      <c r="C730" s="1373"/>
      <c r="D730" s="1389"/>
      <c r="E730" s="1390"/>
      <c r="F730" s="1391"/>
      <c r="G730" s="1391"/>
      <c r="H730" s="1392"/>
      <c r="I730" s="1392"/>
    </row>
    <row r="731" spans="1:9" ht="15">
      <c r="A731" s="1366"/>
      <c r="B731" s="1388"/>
      <c r="C731" s="1373"/>
      <c r="D731" s="1389"/>
      <c r="E731" s="1390"/>
      <c r="F731" s="1391"/>
      <c r="G731" s="1391"/>
      <c r="H731" s="1392"/>
      <c r="I731" s="1392"/>
    </row>
    <row r="732" spans="1:9" ht="15">
      <c r="A732" s="1366"/>
      <c r="B732" s="1388"/>
      <c r="C732" s="1373"/>
      <c r="D732" s="1389"/>
      <c r="E732" s="1390"/>
      <c r="F732" s="1391"/>
      <c r="G732" s="1391"/>
      <c r="H732" s="1392"/>
      <c r="I732" s="1392"/>
    </row>
    <row r="733" spans="1:9" ht="15">
      <c r="A733" s="1366"/>
      <c r="B733" s="1388"/>
      <c r="C733" s="1373"/>
      <c r="D733" s="1389"/>
      <c r="E733" s="1390"/>
      <c r="F733" s="1391"/>
      <c r="G733" s="1391"/>
      <c r="H733" s="1392"/>
      <c r="I733" s="1392"/>
    </row>
    <row r="734" spans="1:9" ht="15">
      <c r="A734" s="1366"/>
      <c r="B734" s="1388"/>
      <c r="C734" s="1373"/>
      <c r="D734" s="1389"/>
      <c r="E734" s="1390"/>
      <c r="F734" s="1391"/>
      <c r="G734" s="1391"/>
      <c r="H734" s="1392"/>
      <c r="I734" s="1392"/>
    </row>
    <row r="735" spans="1:9" ht="15">
      <c r="A735" s="1366"/>
      <c r="B735" s="1388"/>
      <c r="C735" s="1373"/>
      <c r="D735" s="1389"/>
      <c r="E735" s="1390"/>
      <c r="F735" s="1391"/>
      <c r="G735" s="1391"/>
      <c r="H735" s="1392"/>
      <c r="I735" s="1392"/>
    </row>
    <row r="736" spans="1:9" ht="15">
      <c r="A736" s="1366"/>
      <c r="B736" s="1388"/>
      <c r="C736" s="1373"/>
      <c r="D736" s="1389"/>
      <c r="E736" s="1390"/>
      <c r="F736" s="1391"/>
      <c r="G736" s="1391"/>
      <c r="H736" s="1392"/>
      <c r="I736" s="1392"/>
    </row>
    <row r="737" spans="1:9" ht="15">
      <c r="A737" s="1366"/>
      <c r="B737" s="1388"/>
      <c r="C737" s="1373"/>
      <c r="D737" s="1389"/>
      <c r="E737" s="1390"/>
      <c r="F737" s="1391"/>
      <c r="G737" s="1391"/>
      <c r="H737" s="1392"/>
      <c r="I737" s="1392"/>
    </row>
    <row r="738" spans="1:9" ht="15">
      <c r="A738" s="1366"/>
      <c r="B738" s="1388"/>
      <c r="C738" s="1373"/>
      <c r="D738" s="1389"/>
      <c r="E738" s="1390"/>
      <c r="F738" s="1391"/>
      <c r="G738" s="1391"/>
      <c r="H738" s="1392"/>
      <c r="I738" s="1392"/>
    </row>
    <row r="739" spans="1:9" ht="15">
      <c r="A739" s="1366"/>
      <c r="B739" s="1388"/>
      <c r="C739" s="1373"/>
      <c r="D739" s="1389"/>
      <c r="E739" s="1390"/>
      <c r="F739" s="1391"/>
      <c r="G739" s="1391"/>
      <c r="H739" s="1392"/>
      <c r="I739" s="1392"/>
    </row>
    <row r="740" spans="1:9" ht="15">
      <c r="A740" s="1366"/>
      <c r="B740" s="1388"/>
      <c r="C740" s="1373"/>
      <c r="D740" s="1389"/>
      <c r="E740" s="1390"/>
      <c r="F740" s="1391"/>
      <c r="G740" s="1391"/>
      <c r="H740" s="1392"/>
      <c r="I740" s="1392"/>
    </row>
    <row r="741" spans="1:9" ht="15">
      <c r="A741" s="1366"/>
      <c r="B741" s="1388"/>
      <c r="C741" s="1373"/>
      <c r="D741" s="1389"/>
      <c r="E741" s="1390"/>
      <c r="F741" s="1391"/>
      <c r="G741" s="1391"/>
      <c r="H741" s="1392"/>
      <c r="I741" s="1392"/>
    </row>
    <row r="742" spans="1:9" ht="15">
      <c r="A742" s="1366"/>
      <c r="B742" s="1388"/>
      <c r="C742" s="1373"/>
      <c r="D742" s="1389"/>
      <c r="E742" s="1390"/>
      <c r="F742" s="1391"/>
      <c r="G742" s="1391"/>
      <c r="H742" s="1392"/>
      <c r="I742" s="1392"/>
    </row>
    <row r="743" spans="1:9" ht="15">
      <c r="A743" s="1366"/>
      <c r="B743" s="1388"/>
      <c r="C743" s="1373"/>
      <c r="D743" s="1389"/>
      <c r="E743" s="1390"/>
      <c r="F743" s="1391"/>
      <c r="G743" s="1391"/>
      <c r="H743" s="1392"/>
      <c r="I743" s="1392"/>
    </row>
    <row r="744" spans="1:9" ht="15">
      <c r="A744" s="1366"/>
      <c r="B744" s="1388"/>
      <c r="C744" s="1373"/>
      <c r="D744" s="1389"/>
      <c r="E744" s="1390"/>
      <c r="F744" s="1391"/>
      <c r="G744" s="1391"/>
      <c r="H744" s="1392"/>
      <c r="I744" s="1392"/>
    </row>
    <row r="745" spans="1:9" ht="15">
      <c r="A745" s="1366"/>
      <c r="B745" s="1388"/>
      <c r="C745" s="1373"/>
      <c r="D745" s="1389"/>
      <c r="E745" s="1390"/>
      <c r="F745" s="1391"/>
      <c r="G745" s="1391"/>
      <c r="H745" s="1392"/>
      <c r="I745" s="1392"/>
    </row>
    <row r="746" spans="1:9" ht="15">
      <c r="A746" s="1366"/>
      <c r="B746" s="1388"/>
      <c r="C746" s="1373"/>
      <c r="D746" s="1389"/>
      <c r="E746" s="1390"/>
      <c r="F746" s="1391"/>
      <c r="G746" s="1391"/>
      <c r="H746" s="1392"/>
      <c r="I746" s="1392"/>
    </row>
    <row r="747" spans="1:9" ht="15">
      <c r="A747" s="1366"/>
      <c r="B747" s="1388"/>
      <c r="C747" s="1373"/>
      <c r="D747" s="1389"/>
      <c r="E747" s="1390"/>
      <c r="F747" s="1391"/>
      <c r="G747" s="1391"/>
      <c r="H747" s="1392"/>
      <c r="I747" s="1392"/>
    </row>
    <row r="748" spans="1:9" ht="15">
      <c r="A748" s="1366"/>
      <c r="B748" s="1388"/>
      <c r="C748" s="1373"/>
      <c r="D748" s="1389"/>
      <c r="E748" s="1390"/>
      <c r="F748" s="1391"/>
      <c r="G748" s="1391"/>
      <c r="H748" s="1392"/>
      <c r="I748" s="1392"/>
    </row>
    <row r="749" spans="1:9" ht="15">
      <c r="A749" s="1366"/>
      <c r="B749" s="1388"/>
      <c r="C749" s="1373"/>
      <c r="D749" s="1389"/>
      <c r="E749" s="1390"/>
      <c r="F749" s="1391"/>
      <c r="G749" s="1391"/>
      <c r="H749" s="1392"/>
      <c r="I749" s="1392"/>
    </row>
    <row r="750" spans="1:9" ht="15">
      <c r="A750" s="1366"/>
      <c r="B750" s="1388"/>
      <c r="C750" s="1373"/>
      <c r="D750" s="1389"/>
      <c r="E750" s="1390"/>
      <c r="F750" s="1391"/>
      <c r="G750" s="1391"/>
      <c r="H750" s="1392"/>
      <c r="I750" s="1392"/>
    </row>
    <row r="751" spans="1:9" ht="15">
      <c r="A751" s="1366"/>
      <c r="B751" s="1388"/>
      <c r="C751" s="1373"/>
      <c r="D751" s="1389"/>
      <c r="E751" s="1390"/>
      <c r="F751" s="1391"/>
      <c r="G751" s="1391"/>
      <c r="H751" s="1392"/>
      <c r="I751" s="1392"/>
    </row>
    <row r="752" spans="1:9" ht="15">
      <c r="A752" s="1366"/>
      <c r="B752" s="1388"/>
      <c r="C752" s="1373"/>
      <c r="D752" s="1389"/>
      <c r="E752" s="1390"/>
      <c r="F752" s="1391"/>
      <c r="G752" s="1391"/>
      <c r="H752" s="1392"/>
      <c r="I752" s="1392"/>
    </row>
    <row r="753" spans="1:9" ht="15">
      <c r="A753" s="1366"/>
      <c r="B753" s="1388"/>
      <c r="C753" s="1373"/>
      <c r="D753" s="1389"/>
      <c r="E753" s="1390"/>
      <c r="F753" s="1391"/>
      <c r="G753" s="1391"/>
      <c r="H753" s="1392"/>
      <c r="I753" s="1392"/>
    </row>
    <row r="754" spans="1:9" ht="15">
      <c r="A754" s="1366"/>
      <c r="B754" s="1388"/>
      <c r="C754" s="1373"/>
      <c r="D754" s="1389"/>
      <c r="E754" s="1390"/>
      <c r="F754" s="1391"/>
      <c r="G754" s="1391"/>
      <c r="H754" s="1392"/>
      <c r="I754" s="1392"/>
    </row>
    <row r="755" spans="1:9" ht="15">
      <c r="A755" s="1366"/>
      <c r="B755" s="1388"/>
      <c r="C755" s="1373"/>
      <c r="D755" s="1389"/>
      <c r="E755" s="1390"/>
      <c r="F755" s="1391"/>
      <c r="G755" s="1391"/>
      <c r="H755" s="1392"/>
      <c r="I755" s="1392"/>
    </row>
    <row r="756" spans="1:9" ht="15">
      <c r="A756" s="1366"/>
      <c r="B756" s="1388"/>
      <c r="C756" s="1373"/>
      <c r="D756" s="1389"/>
      <c r="E756" s="1390"/>
      <c r="F756" s="1391"/>
      <c r="G756" s="1391"/>
      <c r="H756" s="1392"/>
      <c r="I756" s="1392"/>
    </row>
    <row r="757" spans="1:9" ht="15">
      <c r="A757" s="1366"/>
      <c r="B757" s="1388"/>
      <c r="C757" s="1373"/>
      <c r="D757" s="1389"/>
      <c r="E757" s="1390"/>
      <c r="F757" s="1391"/>
      <c r="G757" s="1391"/>
      <c r="H757" s="1392"/>
      <c r="I757" s="1392"/>
    </row>
    <row r="758" spans="1:9" ht="15">
      <c r="A758" s="1366"/>
      <c r="B758" s="1388"/>
      <c r="C758" s="1373"/>
      <c r="D758" s="1389"/>
      <c r="E758" s="1390"/>
      <c r="F758" s="1391"/>
      <c r="G758" s="1391"/>
      <c r="H758" s="1392"/>
      <c r="I758" s="1392"/>
    </row>
    <row r="759" spans="1:9" ht="15">
      <c r="A759" s="1366"/>
      <c r="B759" s="1388"/>
      <c r="C759" s="1373"/>
      <c r="D759" s="1389"/>
      <c r="E759" s="1390"/>
      <c r="F759" s="1391"/>
      <c r="G759" s="1391"/>
      <c r="H759" s="1392"/>
      <c r="I759" s="1392"/>
    </row>
    <row r="760" spans="1:9" ht="15">
      <c r="A760" s="1366"/>
      <c r="B760" s="1388"/>
      <c r="C760" s="1373"/>
      <c r="D760" s="1389"/>
      <c r="E760" s="1390"/>
      <c r="F760" s="1391"/>
      <c r="G760" s="1391"/>
      <c r="H760" s="1392"/>
      <c r="I760" s="1392"/>
    </row>
    <row r="761" spans="1:9" ht="15">
      <c r="A761" s="1366"/>
      <c r="B761" s="1388"/>
      <c r="C761" s="1373"/>
      <c r="D761" s="1389"/>
      <c r="E761" s="1390"/>
      <c r="F761" s="1391"/>
      <c r="G761" s="1391"/>
      <c r="H761" s="1392"/>
      <c r="I761" s="1392"/>
    </row>
    <row r="762" spans="1:9" ht="15">
      <c r="A762" s="1366"/>
      <c r="B762" s="1388"/>
      <c r="C762" s="1373"/>
      <c r="D762" s="1389"/>
      <c r="E762" s="1390"/>
      <c r="F762" s="1391"/>
      <c r="G762" s="1391"/>
      <c r="H762" s="1392"/>
      <c r="I762" s="1392"/>
    </row>
    <row r="763" spans="1:9" ht="15">
      <c r="A763" s="1366"/>
      <c r="B763" s="1388"/>
      <c r="C763" s="1373"/>
      <c r="D763" s="1389"/>
      <c r="E763" s="1390"/>
      <c r="F763" s="1391"/>
      <c r="G763" s="1391"/>
      <c r="H763" s="1392"/>
      <c r="I763" s="1392"/>
    </row>
    <row r="764" spans="1:9" ht="15">
      <c r="A764" s="1366"/>
      <c r="B764" s="1388"/>
      <c r="C764" s="1373"/>
      <c r="D764" s="1389"/>
      <c r="E764" s="1390"/>
      <c r="F764" s="1391"/>
      <c r="G764" s="1391"/>
      <c r="H764" s="1392"/>
      <c r="I764" s="1392"/>
    </row>
    <row r="765" spans="1:9" ht="15">
      <c r="A765" s="1366"/>
      <c r="B765" s="1388"/>
      <c r="C765" s="1373"/>
      <c r="D765" s="1389"/>
      <c r="E765" s="1390"/>
      <c r="F765" s="1391"/>
      <c r="G765" s="1391"/>
      <c r="H765" s="1392"/>
      <c r="I765" s="1392"/>
    </row>
    <row r="766" spans="1:9" ht="15">
      <c r="A766" s="1366"/>
      <c r="B766" s="1388"/>
      <c r="C766" s="1373"/>
      <c r="D766" s="1389"/>
      <c r="E766" s="1390"/>
      <c r="F766" s="1391"/>
      <c r="G766" s="1391"/>
      <c r="H766" s="1392"/>
      <c r="I766" s="1392"/>
    </row>
    <row r="767" spans="1:9" ht="15">
      <c r="A767" s="1366"/>
      <c r="B767" s="1388"/>
      <c r="C767" s="1373"/>
      <c r="D767" s="1389"/>
      <c r="E767" s="1390"/>
      <c r="F767" s="1391"/>
      <c r="G767" s="1391"/>
      <c r="H767" s="1392"/>
      <c r="I767" s="1392"/>
    </row>
    <row r="768" spans="1:9" ht="15">
      <c r="A768" s="1366"/>
      <c r="B768" s="1388"/>
      <c r="C768" s="1373"/>
      <c r="D768" s="1389"/>
      <c r="E768" s="1390"/>
      <c r="F768" s="1391"/>
      <c r="G768" s="1391"/>
      <c r="H768" s="1392"/>
      <c r="I768" s="1392"/>
    </row>
    <row r="769" spans="1:9" ht="15">
      <c r="A769" s="1366"/>
      <c r="B769" s="1388"/>
      <c r="C769" s="1373"/>
      <c r="D769" s="1389"/>
      <c r="E769" s="1390"/>
      <c r="F769" s="1391"/>
      <c r="G769" s="1391"/>
      <c r="H769" s="1392"/>
      <c r="I769" s="1392"/>
    </row>
    <row r="770" spans="1:9" ht="15">
      <c r="A770" s="1366"/>
      <c r="B770" s="1388"/>
      <c r="C770" s="1373"/>
      <c r="D770" s="1389"/>
      <c r="E770" s="1390"/>
      <c r="F770" s="1391"/>
      <c r="G770" s="1391"/>
      <c r="H770" s="1392"/>
      <c r="I770" s="1392"/>
    </row>
    <row r="771" spans="1:9" ht="15">
      <c r="A771" s="1366"/>
      <c r="B771" s="1388"/>
      <c r="C771" s="1373"/>
      <c r="D771" s="1389"/>
      <c r="E771" s="1390"/>
      <c r="F771" s="1391"/>
      <c r="G771" s="1391"/>
      <c r="H771" s="1392"/>
      <c r="I771" s="1392"/>
    </row>
    <row r="772" spans="1:9" ht="15">
      <c r="A772" s="1366"/>
      <c r="B772" s="1388"/>
      <c r="C772" s="1373"/>
      <c r="D772" s="1389"/>
      <c r="E772" s="1390"/>
      <c r="F772" s="1391"/>
      <c r="G772" s="1391"/>
      <c r="H772" s="1392"/>
      <c r="I772" s="1392"/>
    </row>
    <row r="773" spans="1:9" ht="15">
      <c r="A773" s="1366"/>
      <c r="B773" s="1388"/>
      <c r="C773" s="1373"/>
      <c r="D773" s="1389"/>
      <c r="E773" s="1390"/>
      <c r="F773" s="1391"/>
      <c r="G773" s="1391"/>
      <c r="H773" s="1392"/>
      <c r="I773" s="1392"/>
    </row>
    <row r="774" spans="1:9" ht="15">
      <c r="A774" s="1366"/>
      <c r="B774" s="1388"/>
      <c r="C774" s="1373"/>
      <c r="D774" s="1389"/>
      <c r="E774" s="1390"/>
      <c r="F774" s="1391"/>
      <c r="G774" s="1391"/>
      <c r="H774" s="1392"/>
      <c r="I774" s="1392"/>
    </row>
    <row r="775" spans="1:9" ht="15">
      <c r="A775" s="1366"/>
      <c r="B775" s="1388"/>
      <c r="C775" s="1373"/>
      <c r="D775" s="1389"/>
      <c r="E775" s="1390"/>
      <c r="F775" s="1391"/>
      <c r="G775" s="1391"/>
      <c r="H775" s="1392"/>
      <c r="I775" s="1392"/>
    </row>
    <row r="776" spans="1:9" ht="15">
      <c r="A776" s="1366"/>
      <c r="B776" s="1388"/>
      <c r="C776" s="1373"/>
      <c r="D776" s="1389"/>
      <c r="E776" s="1390"/>
      <c r="F776" s="1391"/>
      <c r="G776" s="1391"/>
      <c r="H776" s="1392"/>
      <c r="I776" s="1392"/>
    </row>
    <row r="777" spans="1:9" ht="15">
      <c r="A777" s="1366"/>
      <c r="B777" s="1388"/>
      <c r="C777" s="1373"/>
      <c r="D777" s="1389"/>
      <c r="E777" s="1390"/>
      <c r="F777" s="1391"/>
      <c r="G777" s="1391"/>
      <c r="H777" s="1392"/>
      <c r="I777" s="1392"/>
    </row>
    <row r="778" spans="1:9" ht="15">
      <c r="A778" s="1366"/>
      <c r="B778" s="1388"/>
      <c r="C778" s="1373"/>
      <c r="D778" s="1389"/>
      <c r="E778" s="1390"/>
      <c r="F778" s="1391"/>
      <c r="G778" s="1391"/>
      <c r="H778" s="1392"/>
      <c r="I778" s="1392"/>
    </row>
    <row r="779" spans="1:9" ht="15">
      <c r="A779" s="1366"/>
      <c r="B779" s="1388"/>
      <c r="C779" s="1373"/>
      <c r="D779" s="1389"/>
      <c r="E779" s="1390"/>
      <c r="F779" s="1391"/>
      <c r="G779" s="1391"/>
      <c r="H779" s="1392"/>
      <c r="I779" s="1392"/>
    </row>
    <row r="780" spans="1:9" ht="15">
      <c r="A780" s="1366"/>
      <c r="B780" s="1388"/>
      <c r="C780" s="1373"/>
      <c r="D780" s="1389"/>
      <c r="E780" s="1390"/>
      <c r="F780" s="1391"/>
      <c r="G780" s="1391"/>
      <c r="H780" s="1392"/>
      <c r="I780" s="1392"/>
    </row>
    <row r="781" spans="1:9" ht="15">
      <c r="A781" s="1366"/>
      <c r="B781" s="1388"/>
      <c r="C781" s="1373"/>
      <c r="D781" s="1389"/>
      <c r="E781" s="1390"/>
      <c r="F781" s="1391"/>
      <c r="G781" s="1391"/>
      <c r="H781" s="1392"/>
      <c r="I781" s="1392"/>
    </row>
    <row r="782" spans="1:9" ht="15">
      <c r="A782" s="1366"/>
      <c r="B782" s="1388"/>
      <c r="C782" s="1373"/>
      <c r="D782" s="1389"/>
      <c r="E782" s="1390"/>
      <c r="F782" s="1391"/>
      <c r="G782" s="1391"/>
      <c r="H782" s="1392"/>
      <c r="I782" s="1392"/>
    </row>
    <row r="783" spans="1:9" ht="15">
      <c r="A783" s="1366"/>
      <c r="B783" s="1388"/>
      <c r="C783" s="1373"/>
      <c r="D783" s="1389"/>
      <c r="E783" s="1390"/>
      <c r="F783" s="1391"/>
      <c r="G783" s="1391"/>
      <c r="H783" s="1392"/>
      <c r="I783" s="1392"/>
    </row>
    <row r="784" spans="1:9" ht="15">
      <c r="A784" s="1366"/>
      <c r="B784" s="1388"/>
      <c r="C784" s="1373"/>
      <c r="D784" s="1389"/>
      <c r="E784" s="1390"/>
      <c r="F784" s="1391"/>
      <c r="G784" s="1391"/>
      <c r="H784" s="1392"/>
      <c r="I784" s="1392"/>
    </row>
    <row r="785" spans="1:9" ht="15">
      <c r="A785" s="1366"/>
      <c r="B785" s="1388"/>
      <c r="C785" s="1373"/>
      <c r="D785" s="1389"/>
      <c r="E785" s="1390"/>
      <c r="F785" s="1391"/>
      <c r="G785" s="1391"/>
      <c r="H785" s="1392"/>
      <c r="I785" s="1392"/>
    </row>
    <row r="786" spans="1:9" ht="15">
      <c r="A786" s="1366"/>
      <c r="B786" s="1388"/>
      <c r="C786" s="1373"/>
      <c r="D786" s="1389"/>
      <c r="E786" s="1390"/>
      <c r="F786" s="1391"/>
      <c r="G786" s="1391"/>
      <c r="H786" s="1392"/>
      <c r="I786" s="1392"/>
    </row>
    <row r="787" spans="1:9" ht="15">
      <c r="A787" s="1366"/>
      <c r="B787" s="1388"/>
      <c r="C787" s="1373"/>
      <c r="D787" s="1389"/>
      <c r="E787" s="1390"/>
      <c r="F787" s="1391"/>
      <c r="G787" s="1391"/>
      <c r="H787" s="1392"/>
      <c r="I787" s="1392"/>
    </row>
    <row r="788" spans="1:9" ht="15">
      <c r="A788" s="1366"/>
      <c r="B788" s="1388"/>
      <c r="C788" s="1373"/>
      <c r="D788" s="1389"/>
      <c r="E788" s="1390"/>
      <c r="F788" s="1391"/>
      <c r="G788" s="1391"/>
      <c r="H788" s="1392"/>
      <c r="I788" s="1392"/>
    </row>
    <row r="789" spans="1:9" ht="15">
      <c r="A789" s="1366"/>
      <c r="B789" s="1388"/>
      <c r="C789" s="1373"/>
      <c r="D789" s="1389"/>
      <c r="E789" s="1390"/>
      <c r="F789" s="1391"/>
      <c r="G789" s="1391"/>
      <c r="H789" s="1392"/>
      <c r="I789" s="1392"/>
    </row>
    <row r="790" spans="1:9" ht="15">
      <c r="A790" s="1366"/>
      <c r="B790" s="1388"/>
      <c r="C790" s="1373"/>
      <c r="D790" s="1389"/>
      <c r="E790" s="1390"/>
      <c r="F790" s="1391"/>
      <c r="G790" s="1391"/>
      <c r="H790" s="1392"/>
      <c r="I790" s="1392"/>
    </row>
    <row r="791" spans="1:9" ht="15">
      <c r="A791" s="1366"/>
      <c r="B791" s="1388"/>
      <c r="C791" s="1373"/>
      <c r="D791" s="1389"/>
      <c r="E791" s="1390"/>
      <c r="F791" s="1391"/>
      <c r="G791" s="1391"/>
      <c r="H791" s="1392"/>
      <c r="I791" s="1392"/>
    </row>
    <row r="792" spans="1:9" ht="15">
      <c r="A792" s="1366"/>
      <c r="B792" s="1388"/>
      <c r="C792" s="1373"/>
      <c r="D792" s="1389"/>
      <c r="E792" s="1390"/>
      <c r="F792" s="1391"/>
      <c r="G792" s="1391"/>
      <c r="H792" s="1392"/>
      <c r="I792" s="1392"/>
    </row>
    <row r="793" spans="1:9" ht="15">
      <c r="A793" s="1366"/>
      <c r="B793" s="1388"/>
      <c r="C793" s="1373"/>
      <c r="D793" s="1389"/>
      <c r="E793" s="1390"/>
      <c r="F793" s="1391"/>
      <c r="G793" s="1391"/>
      <c r="H793" s="1392"/>
      <c r="I793" s="1392"/>
    </row>
    <row r="794" spans="1:9" ht="15">
      <c r="A794" s="1366"/>
      <c r="B794" s="1388"/>
      <c r="C794" s="1373"/>
      <c r="D794" s="1389"/>
      <c r="E794" s="1390"/>
      <c r="F794" s="1391"/>
      <c r="G794" s="1391"/>
      <c r="H794" s="1392"/>
      <c r="I794" s="1392"/>
    </row>
    <row r="795" spans="1:9" ht="15">
      <c r="A795" s="1366"/>
      <c r="B795" s="1388"/>
      <c r="C795" s="1373"/>
      <c r="D795" s="1389"/>
      <c r="E795" s="1390"/>
      <c r="F795" s="1391"/>
      <c r="G795" s="1391"/>
      <c r="H795" s="1392"/>
      <c r="I795" s="1392"/>
    </row>
    <row r="796" spans="1:9" ht="15">
      <c r="A796" s="1366"/>
      <c r="B796" s="1388"/>
      <c r="C796" s="1373"/>
      <c r="D796" s="1389"/>
      <c r="E796" s="1390"/>
      <c r="F796" s="1391"/>
      <c r="G796" s="1391"/>
      <c r="H796" s="1392"/>
      <c r="I796" s="1392"/>
    </row>
    <row r="797" spans="1:9" ht="15">
      <c r="A797" s="1366"/>
      <c r="B797" s="1388"/>
      <c r="C797" s="1373"/>
      <c r="D797" s="1389"/>
      <c r="E797" s="1390"/>
      <c r="F797" s="1391"/>
      <c r="G797" s="1391"/>
      <c r="H797" s="1392"/>
      <c r="I797" s="1392"/>
    </row>
    <row r="798" spans="1:9" ht="15">
      <c r="A798" s="1366"/>
      <c r="B798" s="1388"/>
      <c r="C798" s="1373"/>
      <c r="D798" s="1389"/>
      <c r="E798" s="1390"/>
      <c r="F798" s="1391"/>
      <c r="G798" s="1391"/>
      <c r="H798" s="1392"/>
      <c r="I798" s="1392"/>
    </row>
    <row r="799" spans="1:9" ht="15">
      <c r="A799" s="1366"/>
      <c r="B799" s="1388"/>
      <c r="C799" s="1373"/>
      <c r="D799" s="1389"/>
      <c r="E799" s="1390"/>
      <c r="F799" s="1391"/>
      <c r="G799" s="1391"/>
      <c r="H799" s="1392"/>
      <c r="I799" s="1392"/>
    </row>
    <row r="800" spans="1:9" ht="15">
      <c r="A800" s="1366"/>
      <c r="B800" s="1388"/>
      <c r="C800" s="1373"/>
      <c r="D800" s="1389"/>
      <c r="E800" s="1390"/>
      <c r="F800" s="1391"/>
      <c r="G800" s="1391"/>
      <c r="H800" s="1392"/>
      <c r="I800" s="1392"/>
    </row>
    <row r="801" spans="1:9" ht="15">
      <c r="A801" s="1366"/>
      <c r="B801" s="1388"/>
      <c r="C801" s="1373"/>
      <c r="D801" s="1389"/>
      <c r="E801" s="1390"/>
      <c r="F801" s="1391"/>
      <c r="G801" s="1391"/>
      <c r="H801" s="1392"/>
      <c r="I801" s="1392"/>
    </row>
    <row r="802" spans="1:9" ht="15">
      <c r="A802" s="1366"/>
      <c r="B802" s="1388"/>
      <c r="C802" s="1373"/>
      <c r="D802" s="1389"/>
      <c r="E802" s="1390"/>
      <c r="F802" s="1391"/>
      <c r="G802" s="1391"/>
      <c r="H802" s="1392"/>
      <c r="I802" s="1392"/>
    </row>
    <row r="803" spans="1:9" ht="15">
      <c r="A803" s="1366"/>
      <c r="B803" s="1388"/>
      <c r="C803" s="1373"/>
      <c r="D803" s="1389"/>
      <c r="E803" s="1390"/>
      <c r="F803" s="1391"/>
      <c r="G803" s="1391"/>
      <c r="H803" s="1392"/>
      <c r="I803" s="1392"/>
    </row>
    <row r="804" spans="1:9" ht="15">
      <c r="A804" s="1366"/>
      <c r="B804" s="1388"/>
      <c r="C804" s="1373"/>
      <c r="D804" s="1389"/>
      <c r="E804" s="1390"/>
      <c r="F804" s="1391"/>
      <c r="G804" s="1391"/>
      <c r="H804" s="1392"/>
      <c r="I804" s="1392"/>
    </row>
    <row r="805" spans="1:9" ht="15">
      <c r="A805" s="1366"/>
      <c r="B805" s="1388"/>
      <c r="C805" s="1373"/>
      <c r="D805" s="1389"/>
      <c r="E805" s="1390"/>
      <c r="F805" s="1391"/>
      <c r="G805" s="1391"/>
      <c r="H805" s="1392"/>
      <c r="I805" s="1392"/>
    </row>
    <row r="806" spans="1:9" ht="15">
      <c r="A806" s="1366"/>
      <c r="B806" s="1388"/>
      <c r="C806" s="1373"/>
      <c r="D806" s="1389"/>
      <c r="E806" s="1390"/>
      <c r="F806" s="1391"/>
      <c r="G806" s="1391"/>
      <c r="H806" s="1392"/>
      <c r="I806" s="1392"/>
    </row>
    <row r="807" spans="1:9" ht="15">
      <c r="A807" s="1366"/>
      <c r="B807" s="1388"/>
      <c r="C807" s="1373"/>
      <c r="D807" s="1389"/>
      <c r="E807" s="1390"/>
      <c r="F807" s="1391"/>
      <c r="G807" s="1391"/>
      <c r="H807" s="1392"/>
      <c r="I807" s="1392"/>
    </row>
    <row r="808" spans="1:9" ht="15">
      <c r="A808" s="1366"/>
      <c r="B808" s="1388"/>
      <c r="C808" s="1373"/>
      <c r="D808" s="1389"/>
      <c r="E808" s="1390"/>
      <c r="F808" s="1391"/>
      <c r="G808" s="1391"/>
      <c r="H808" s="1392"/>
      <c r="I808" s="1392"/>
    </row>
    <row r="809" spans="1:9" ht="15">
      <c r="A809" s="1366"/>
      <c r="B809" s="1388"/>
      <c r="C809" s="1373"/>
      <c r="D809" s="1389"/>
      <c r="E809" s="1390"/>
      <c r="F809" s="1391"/>
      <c r="G809" s="1391"/>
      <c r="H809" s="1392"/>
      <c r="I809" s="1392"/>
    </row>
    <row r="810" spans="1:9" ht="15">
      <c r="A810" s="1366"/>
      <c r="B810" s="1388"/>
      <c r="C810" s="1373"/>
      <c r="D810" s="1389"/>
      <c r="E810" s="1390"/>
      <c r="F810" s="1391"/>
      <c r="G810" s="1391"/>
      <c r="H810" s="1392"/>
      <c r="I810" s="1392"/>
    </row>
    <row r="811" spans="1:9" ht="15">
      <c r="A811" s="1366"/>
      <c r="B811" s="1388"/>
      <c r="C811" s="1373"/>
      <c r="D811" s="1389"/>
      <c r="E811" s="1390"/>
      <c r="F811" s="1391"/>
      <c r="G811" s="1391"/>
      <c r="H811" s="1392"/>
      <c r="I811" s="1392"/>
    </row>
    <row r="812" spans="1:9" ht="15">
      <c r="A812" s="1366"/>
      <c r="B812" s="1388"/>
      <c r="C812" s="1373"/>
      <c r="D812" s="1389"/>
      <c r="E812" s="1390"/>
      <c r="F812" s="1391"/>
      <c r="G812" s="1391"/>
      <c r="H812" s="1392"/>
      <c r="I812" s="1392"/>
    </row>
    <row r="813" spans="1:9" ht="15">
      <c r="A813" s="1366"/>
      <c r="B813" s="1388"/>
      <c r="C813" s="1373"/>
      <c r="D813" s="1389"/>
      <c r="E813" s="1390"/>
      <c r="F813" s="1391"/>
      <c r="G813" s="1391"/>
      <c r="H813" s="1392"/>
      <c r="I813" s="1392"/>
    </row>
    <row r="814" spans="1:9" ht="15">
      <c r="A814" s="1366"/>
      <c r="B814" s="1388"/>
      <c r="C814" s="1373"/>
      <c r="D814" s="1389"/>
      <c r="E814" s="1390"/>
      <c r="F814" s="1391"/>
      <c r="G814" s="1391"/>
      <c r="H814" s="1392"/>
      <c r="I814" s="1392"/>
    </row>
    <row r="815" spans="1:9" ht="15">
      <c r="A815" s="1366"/>
      <c r="B815" s="1388"/>
      <c r="C815" s="1373"/>
      <c r="D815" s="1389"/>
      <c r="E815" s="1390"/>
      <c r="F815" s="1391"/>
      <c r="G815" s="1391"/>
      <c r="H815" s="1392"/>
      <c r="I815" s="1392"/>
    </row>
    <row r="816" spans="1:9" ht="15">
      <c r="A816" s="1366"/>
      <c r="B816" s="1388"/>
      <c r="C816" s="1373"/>
      <c r="D816" s="1389"/>
      <c r="E816" s="1390"/>
      <c r="F816" s="1391"/>
      <c r="G816" s="1391"/>
      <c r="H816" s="1392"/>
      <c r="I816" s="1392"/>
    </row>
    <row r="817" spans="1:9" ht="15">
      <c r="A817" s="1366"/>
      <c r="B817" s="1388"/>
      <c r="C817" s="1373"/>
      <c r="D817" s="1389"/>
      <c r="E817" s="1390"/>
      <c r="F817" s="1391"/>
      <c r="G817" s="1391"/>
      <c r="H817" s="1392"/>
      <c r="I817" s="1392"/>
    </row>
    <row r="818" spans="1:9" ht="15">
      <c r="A818" s="1366"/>
      <c r="B818" s="1388"/>
      <c r="C818" s="1373"/>
      <c r="D818" s="1389"/>
      <c r="E818" s="1390"/>
      <c r="F818" s="1391"/>
      <c r="G818" s="1391"/>
      <c r="H818" s="1392"/>
      <c r="I818" s="1392"/>
    </row>
    <row r="819" spans="1:9" ht="15">
      <c r="A819" s="1366"/>
      <c r="B819" s="1388"/>
      <c r="C819" s="1373"/>
      <c r="D819" s="1389"/>
      <c r="E819" s="1390"/>
      <c r="F819" s="1391"/>
      <c r="G819" s="1391"/>
      <c r="H819" s="1392"/>
      <c r="I819" s="1392"/>
    </row>
    <row r="820" spans="1:9" ht="15">
      <c r="A820" s="1366"/>
      <c r="B820" s="1388"/>
      <c r="C820" s="1373"/>
      <c r="D820" s="1389"/>
      <c r="E820" s="1390"/>
      <c r="F820" s="1391"/>
      <c r="G820" s="1391"/>
      <c r="H820" s="1392"/>
      <c r="I820" s="1392"/>
    </row>
    <row r="821" spans="1:9" ht="15">
      <c r="A821" s="1366"/>
      <c r="B821" s="1388"/>
      <c r="C821" s="1373"/>
      <c r="D821" s="1389"/>
      <c r="E821" s="1390"/>
      <c r="F821" s="1391"/>
      <c r="G821" s="1391"/>
      <c r="H821" s="1392"/>
      <c r="I821" s="1392"/>
    </row>
    <row r="822" spans="1:9" ht="15">
      <c r="A822" s="1366"/>
      <c r="B822" s="1388"/>
      <c r="C822" s="1373"/>
      <c r="D822" s="1389"/>
      <c r="E822" s="1390"/>
      <c r="F822" s="1391"/>
      <c r="G822" s="1391"/>
      <c r="H822" s="1392"/>
      <c r="I822" s="1392"/>
    </row>
    <row r="823" spans="1:9" ht="15">
      <c r="A823" s="1366"/>
      <c r="B823" s="1388"/>
      <c r="C823" s="1373"/>
      <c r="D823" s="1389"/>
      <c r="E823" s="1390"/>
      <c r="F823" s="1391"/>
      <c r="G823" s="1391"/>
      <c r="H823" s="1392"/>
      <c r="I823" s="1392"/>
    </row>
    <row r="824" spans="1:9" ht="15">
      <c r="A824" s="1366"/>
      <c r="B824" s="1388"/>
      <c r="C824" s="1373"/>
      <c r="D824" s="1389"/>
      <c r="E824" s="1390"/>
      <c r="F824" s="1391"/>
      <c r="G824" s="1391"/>
      <c r="H824" s="1392"/>
      <c r="I824" s="1392"/>
    </row>
    <row r="825" spans="1:9" ht="15">
      <c r="A825" s="1366"/>
      <c r="B825" s="1388"/>
      <c r="C825" s="1373"/>
      <c r="D825" s="1389"/>
      <c r="E825" s="1390"/>
      <c r="F825" s="1391"/>
      <c r="G825" s="1391"/>
      <c r="H825" s="1392"/>
      <c r="I825" s="1392"/>
    </row>
    <row r="826" spans="1:9" ht="15">
      <c r="A826" s="1366"/>
      <c r="B826" s="1388"/>
      <c r="C826" s="1373"/>
      <c r="D826" s="1389"/>
      <c r="E826" s="1390"/>
      <c r="F826" s="1391"/>
      <c r="G826" s="1391"/>
      <c r="H826" s="1392"/>
      <c r="I826" s="1392"/>
    </row>
    <row r="827" spans="1:9" ht="15">
      <c r="A827" s="1366"/>
      <c r="B827" s="1388"/>
      <c r="C827" s="1373"/>
      <c r="D827" s="1389"/>
      <c r="E827" s="1390"/>
      <c r="F827" s="1391"/>
      <c r="G827" s="1391"/>
      <c r="H827" s="1392"/>
      <c r="I827" s="1392"/>
    </row>
    <row r="828" spans="1:9" ht="15">
      <c r="A828" s="1366"/>
      <c r="B828" s="1388"/>
      <c r="C828" s="1373"/>
      <c r="D828" s="1389"/>
      <c r="E828" s="1390"/>
      <c r="F828" s="1391"/>
      <c r="G828" s="1391"/>
      <c r="H828" s="1392"/>
      <c r="I828" s="1392"/>
    </row>
    <row r="829" spans="1:9" ht="15">
      <c r="A829" s="1366"/>
      <c r="B829" s="1388"/>
      <c r="C829" s="1373"/>
      <c r="D829" s="1389"/>
      <c r="E829" s="1390"/>
      <c r="F829" s="1391"/>
      <c r="G829" s="1391"/>
      <c r="H829" s="1392"/>
      <c r="I829" s="1392"/>
    </row>
    <row r="830" spans="1:9" ht="15">
      <c r="A830" s="1366"/>
      <c r="B830" s="1388"/>
      <c r="C830" s="1373"/>
      <c r="D830" s="1389"/>
      <c r="E830" s="1390"/>
      <c r="F830" s="1391"/>
      <c r="G830" s="1391"/>
      <c r="H830" s="1392"/>
      <c r="I830" s="1392"/>
    </row>
    <row r="831" spans="1:9" ht="15">
      <c r="A831" s="1366"/>
      <c r="B831" s="1388"/>
      <c r="C831" s="1373"/>
      <c r="D831" s="1389"/>
      <c r="E831" s="1390"/>
      <c r="F831" s="1391"/>
      <c r="G831" s="1391"/>
      <c r="H831" s="1392"/>
      <c r="I831" s="1392"/>
    </row>
    <row r="832" spans="1:9" ht="15">
      <c r="A832" s="1366"/>
      <c r="B832" s="1388"/>
      <c r="C832" s="1373"/>
      <c r="D832" s="1389"/>
      <c r="E832" s="1390"/>
      <c r="F832" s="1391"/>
      <c r="G832" s="1391"/>
      <c r="H832" s="1392"/>
      <c r="I832" s="1392"/>
    </row>
    <row r="833" spans="1:9" ht="15">
      <c r="A833" s="1366"/>
      <c r="B833" s="1388"/>
      <c r="C833" s="1373"/>
      <c r="D833" s="1389"/>
      <c r="E833" s="1390"/>
      <c r="F833" s="1391"/>
      <c r="G833" s="1391"/>
      <c r="H833" s="1392"/>
      <c r="I833" s="1392"/>
    </row>
    <row r="834" spans="1:9" ht="15">
      <c r="A834" s="1366"/>
      <c r="B834" s="1388"/>
      <c r="C834" s="1373"/>
      <c r="D834" s="1389"/>
      <c r="E834" s="1390"/>
      <c r="F834" s="1391"/>
      <c r="G834" s="1391"/>
      <c r="H834" s="1392"/>
      <c r="I834" s="1392"/>
    </row>
    <row r="835" spans="1:9" ht="15">
      <c r="A835" s="1366"/>
      <c r="B835" s="1388"/>
      <c r="C835" s="1373"/>
      <c r="D835" s="1389"/>
      <c r="E835" s="1390"/>
      <c r="F835" s="1391"/>
      <c r="G835" s="1391"/>
      <c r="H835" s="1392"/>
      <c r="I835" s="1392"/>
    </row>
    <row r="836" spans="1:9" ht="15">
      <c r="A836" s="1366"/>
      <c r="B836" s="1388"/>
      <c r="C836" s="1373"/>
      <c r="D836" s="1389"/>
      <c r="E836" s="1390"/>
      <c r="F836" s="1391"/>
      <c r="G836" s="1391"/>
      <c r="H836" s="1392"/>
      <c r="I836" s="1392"/>
    </row>
    <row r="837" spans="1:9" ht="15">
      <c r="A837" s="1366"/>
      <c r="B837" s="1388"/>
      <c r="C837" s="1373"/>
      <c r="D837" s="1389"/>
      <c r="E837" s="1390"/>
      <c r="F837" s="1391"/>
      <c r="G837" s="1391"/>
      <c r="H837" s="1392"/>
      <c r="I837" s="1392"/>
    </row>
    <row r="838" spans="1:9" ht="15">
      <c r="A838" s="1366"/>
      <c r="B838" s="1388"/>
      <c r="C838" s="1373"/>
      <c r="D838" s="1389"/>
      <c r="E838" s="1390"/>
      <c r="F838" s="1391"/>
      <c r="G838" s="1391"/>
      <c r="H838" s="1392"/>
      <c r="I838" s="1392"/>
    </row>
    <row r="839" spans="1:9" ht="15">
      <c r="A839" s="1366"/>
      <c r="B839" s="1388"/>
      <c r="C839" s="1373"/>
      <c r="D839" s="1389"/>
      <c r="E839" s="1390"/>
      <c r="F839" s="1391"/>
      <c r="G839" s="1391"/>
      <c r="H839" s="1392"/>
      <c r="I839" s="1392"/>
    </row>
    <row r="840" spans="1:9" ht="15">
      <c r="A840" s="1366"/>
      <c r="B840" s="1388"/>
      <c r="C840" s="1373"/>
      <c r="D840" s="1389"/>
      <c r="E840" s="1390"/>
      <c r="F840" s="1391"/>
      <c r="G840" s="1391"/>
      <c r="H840" s="1392"/>
      <c r="I840" s="1392"/>
    </row>
    <row r="841" spans="1:9" ht="15">
      <c r="A841" s="1366"/>
      <c r="B841" s="1388"/>
      <c r="C841" s="1373"/>
      <c r="D841" s="1389"/>
      <c r="E841" s="1390"/>
      <c r="F841" s="1391"/>
      <c r="G841" s="1391"/>
      <c r="H841" s="1392"/>
      <c r="I841" s="1392"/>
    </row>
    <row r="842" spans="1:9" ht="15">
      <c r="A842" s="1366"/>
      <c r="B842" s="1388"/>
      <c r="C842" s="1373"/>
      <c r="D842" s="1389"/>
      <c r="E842" s="1390"/>
      <c r="F842" s="1391"/>
      <c r="G842" s="1391"/>
      <c r="H842" s="1392"/>
      <c r="I842" s="1392"/>
    </row>
    <row r="843" spans="1:9" ht="15">
      <c r="A843" s="1366"/>
      <c r="B843" s="1388"/>
      <c r="C843" s="1373"/>
      <c r="D843" s="1389"/>
      <c r="E843" s="1390"/>
      <c r="F843" s="1391"/>
      <c r="G843" s="1391"/>
      <c r="H843" s="1392"/>
      <c r="I843" s="1392"/>
    </row>
    <row r="844" spans="1:9" ht="15">
      <c r="A844" s="1366"/>
      <c r="B844" s="1388"/>
      <c r="C844" s="1373"/>
      <c r="D844" s="1389"/>
      <c r="E844" s="1390"/>
      <c r="F844" s="1391"/>
      <c r="G844" s="1391"/>
      <c r="H844" s="1392"/>
      <c r="I844" s="1392"/>
    </row>
    <row r="845" spans="1:9" ht="15">
      <c r="A845" s="1366"/>
      <c r="B845" s="1388"/>
      <c r="C845" s="1373"/>
      <c r="D845" s="1389"/>
      <c r="E845" s="1390"/>
      <c r="F845" s="1391"/>
      <c r="G845" s="1391"/>
      <c r="H845" s="1392"/>
      <c r="I845" s="1392"/>
    </row>
    <row r="846" spans="1:9" ht="15">
      <c r="A846" s="1366"/>
      <c r="B846" s="1388"/>
      <c r="C846" s="1373"/>
      <c r="D846" s="1389"/>
      <c r="E846" s="1390"/>
      <c r="F846" s="1391"/>
      <c r="G846" s="1391"/>
      <c r="H846" s="1392"/>
      <c r="I846" s="1392"/>
    </row>
    <row r="847" spans="1:9" ht="15">
      <c r="A847" s="1366"/>
      <c r="B847" s="1388"/>
      <c r="C847" s="1373"/>
      <c r="D847" s="1389"/>
      <c r="E847" s="1390"/>
      <c r="F847" s="1391"/>
      <c r="G847" s="1391"/>
      <c r="H847" s="1392"/>
      <c r="I847" s="1392"/>
    </row>
    <row r="848" spans="1:9" ht="15">
      <c r="A848" s="1366"/>
      <c r="B848" s="1388"/>
      <c r="C848" s="1373"/>
      <c r="D848" s="1389"/>
      <c r="E848" s="1390"/>
      <c r="F848" s="1391"/>
      <c r="G848" s="1391"/>
      <c r="H848" s="1392"/>
      <c r="I848" s="1392"/>
    </row>
    <row r="849" spans="1:9" ht="15">
      <c r="A849" s="1366"/>
      <c r="B849" s="1388"/>
      <c r="C849" s="1373"/>
      <c r="D849" s="1389"/>
      <c r="E849" s="1390"/>
      <c r="F849" s="1391"/>
      <c r="G849" s="1391"/>
      <c r="H849" s="1392"/>
      <c r="I849" s="1392"/>
    </row>
    <row r="850" spans="1:9" ht="15">
      <c r="A850" s="1366"/>
      <c r="B850" s="1388"/>
      <c r="C850" s="1373"/>
      <c r="D850" s="1389"/>
      <c r="E850" s="1390"/>
      <c r="F850" s="1391"/>
      <c r="G850" s="1391"/>
      <c r="H850" s="1392"/>
      <c r="I850" s="1392"/>
    </row>
    <row r="851" spans="1:9" ht="15">
      <c r="A851" s="1366"/>
      <c r="B851" s="1388"/>
      <c r="C851" s="1373"/>
      <c r="D851" s="1389"/>
      <c r="E851" s="1390"/>
      <c r="F851" s="1391"/>
      <c r="G851" s="1391"/>
      <c r="H851" s="1392"/>
      <c r="I851" s="1392"/>
    </row>
    <row r="852" spans="1:9" ht="15">
      <c r="A852" s="1366"/>
      <c r="B852" s="1388"/>
      <c r="C852" s="1373"/>
      <c r="D852" s="1389"/>
      <c r="E852" s="1390"/>
      <c r="F852" s="1391"/>
      <c r="G852" s="1391"/>
      <c r="H852" s="1392"/>
      <c r="I852" s="1392"/>
    </row>
    <row r="853" spans="1:9" ht="15">
      <c r="A853" s="1366"/>
      <c r="B853" s="1388"/>
      <c r="C853" s="1373"/>
      <c r="D853" s="1389"/>
      <c r="E853" s="1390"/>
      <c r="F853" s="1391"/>
      <c r="G853" s="1391"/>
      <c r="H853" s="1392"/>
      <c r="I853" s="1392"/>
    </row>
    <row r="854" spans="1:9" ht="15">
      <c r="A854" s="1366"/>
      <c r="B854" s="1388"/>
      <c r="C854" s="1373"/>
      <c r="D854" s="1389"/>
      <c r="E854" s="1390"/>
      <c r="F854" s="1391"/>
      <c r="G854" s="1391"/>
      <c r="H854" s="1392"/>
      <c r="I854" s="1392"/>
    </row>
    <row r="855" spans="1:9" ht="15">
      <c r="A855" s="1366"/>
      <c r="B855" s="1388"/>
      <c r="C855" s="1373"/>
      <c r="D855" s="1389"/>
      <c r="E855" s="1390"/>
      <c r="F855" s="1391"/>
      <c r="G855" s="1391"/>
      <c r="H855" s="1392"/>
      <c r="I855" s="1392"/>
    </row>
    <row r="856" spans="1:9" ht="15">
      <c r="A856" s="1366"/>
      <c r="B856" s="1388"/>
      <c r="C856" s="1373"/>
      <c r="D856" s="1389"/>
      <c r="E856" s="1390"/>
      <c r="F856" s="1391"/>
      <c r="G856" s="1391"/>
      <c r="H856" s="1392"/>
      <c r="I856" s="1392"/>
    </row>
    <row r="857" spans="1:9" ht="15">
      <c r="A857" s="1366"/>
      <c r="B857" s="1388"/>
      <c r="C857" s="1373"/>
      <c r="D857" s="1389"/>
      <c r="E857" s="1390"/>
      <c r="F857" s="1391"/>
      <c r="G857" s="1391"/>
      <c r="H857" s="1392"/>
      <c r="I857" s="1392"/>
    </row>
    <row r="858" spans="1:9" ht="15">
      <c r="A858" s="1366"/>
      <c r="B858" s="1388"/>
      <c r="C858" s="1373"/>
      <c r="D858" s="1389"/>
      <c r="E858" s="1390"/>
      <c r="F858" s="1391"/>
      <c r="G858" s="1391"/>
      <c r="H858" s="1392"/>
      <c r="I858" s="1392"/>
    </row>
    <row r="859" spans="1:9" ht="15">
      <c r="A859" s="1366"/>
      <c r="B859" s="1388"/>
      <c r="C859" s="1373"/>
      <c r="D859" s="1389"/>
      <c r="E859" s="1390"/>
      <c r="F859" s="1391"/>
      <c r="G859" s="1391"/>
      <c r="H859" s="1392"/>
      <c r="I859" s="1392"/>
    </row>
    <row r="860" spans="1:9" ht="15">
      <c r="A860" s="1366"/>
      <c r="B860" s="1388"/>
      <c r="C860" s="1373"/>
      <c r="D860" s="1389"/>
      <c r="E860" s="1390"/>
      <c r="F860" s="1391"/>
      <c r="G860" s="1391"/>
      <c r="H860" s="1392"/>
      <c r="I860" s="1392"/>
    </row>
    <row r="861" spans="1:9" ht="15">
      <c r="A861" s="1366"/>
      <c r="B861" s="1388"/>
      <c r="C861" s="1373"/>
      <c r="D861" s="1389"/>
      <c r="E861" s="1390"/>
      <c r="F861" s="1391"/>
      <c r="G861" s="1391"/>
      <c r="H861" s="1392"/>
      <c r="I861" s="1392"/>
    </row>
    <row r="862" spans="1:9" ht="15">
      <c r="A862" s="1366"/>
      <c r="B862" s="1388"/>
      <c r="C862" s="1373"/>
      <c r="D862" s="1389"/>
      <c r="E862" s="1390"/>
      <c r="F862" s="1391"/>
      <c r="G862" s="1391"/>
      <c r="H862" s="1392"/>
      <c r="I862" s="1392"/>
    </row>
    <row r="863" spans="1:9" ht="15">
      <c r="A863" s="1366"/>
      <c r="B863" s="1388"/>
      <c r="C863" s="1373"/>
      <c r="D863" s="1389"/>
      <c r="E863" s="1390"/>
      <c r="F863" s="1391"/>
      <c r="G863" s="1391"/>
      <c r="H863" s="1392"/>
      <c r="I863" s="1392"/>
    </row>
    <row r="864" spans="1:9" ht="15">
      <c r="A864" s="1366"/>
      <c r="B864" s="1388"/>
      <c r="C864" s="1373"/>
      <c r="D864" s="1389"/>
      <c r="E864" s="1390"/>
      <c r="F864" s="1391"/>
      <c r="G864" s="1391"/>
      <c r="H864" s="1392"/>
      <c r="I864" s="1392"/>
    </row>
    <row r="865" spans="1:9" ht="15">
      <c r="A865" s="1366"/>
      <c r="B865" s="1388"/>
      <c r="C865" s="1373"/>
      <c r="D865" s="1389"/>
      <c r="E865" s="1390"/>
      <c r="F865" s="1391"/>
      <c r="G865" s="1391"/>
      <c r="H865" s="1392"/>
      <c r="I865" s="1392"/>
    </row>
    <row r="866" spans="1:9" ht="15">
      <c r="A866" s="1366"/>
      <c r="B866" s="1388"/>
      <c r="C866" s="1373"/>
      <c r="D866" s="1389"/>
      <c r="E866" s="1390"/>
      <c r="F866" s="1391"/>
      <c r="G866" s="1391"/>
      <c r="H866" s="1392"/>
      <c r="I866" s="1392"/>
    </row>
    <row r="867" spans="1:9" ht="15">
      <c r="A867" s="1366"/>
      <c r="B867" s="1388"/>
      <c r="C867" s="1373"/>
      <c r="D867" s="1389"/>
      <c r="E867" s="1390"/>
      <c r="F867" s="1391"/>
      <c r="G867" s="1391"/>
      <c r="H867" s="1392"/>
      <c r="I867" s="1392"/>
    </row>
    <row r="868" spans="1:9" ht="15">
      <c r="A868" s="1366"/>
      <c r="B868" s="1388"/>
      <c r="C868" s="1373"/>
      <c r="D868" s="1389"/>
      <c r="E868" s="1390"/>
      <c r="F868" s="1391"/>
      <c r="G868" s="1391"/>
      <c r="H868" s="1392"/>
      <c r="I868" s="1392"/>
    </row>
    <row r="869" spans="1:9" ht="15">
      <c r="A869" s="1366"/>
      <c r="B869" s="1388"/>
      <c r="C869" s="1373"/>
      <c r="D869" s="1389"/>
      <c r="E869" s="1390"/>
      <c r="F869" s="1391"/>
      <c r="G869" s="1391"/>
      <c r="H869" s="1392"/>
      <c r="I869" s="1392"/>
    </row>
    <row r="870" spans="1:9" ht="15">
      <c r="A870" s="1366"/>
      <c r="B870" s="1388"/>
      <c r="C870" s="1373"/>
      <c r="D870" s="1389"/>
      <c r="E870" s="1390"/>
      <c r="F870" s="1391"/>
      <c r="G870" s="1391"/>
      <c r="H870" s="1392"/>
      <c r="I870" s="1392"/>
    </row>
    <row r="871" spans="1:9" ht="15">
      <c r="A871" s="1366"/>
      <c r="B871" s="1388"/>
      <c r="C871" s="1373"/>
      <c r="D871" s="1389"/>
      <c r="E871" s="1390"/>
      <c r="F871" s="1391"/>
      <c r="G871" s="1391"/>
      <c r="H871" s="1392"/>
      <c r="I871" s="1392"/>
    </row>
    <row r="872" spans="1:9" ht="15">
      <c r="A872" s="1366"/>
      <c r="B872" s="1388"/>
      <c r="C872" s="1373"/>
      <c r="D872" s="1389"/>
      <c r="E872" s="1390"/>
      <c r="F872" s="1391"/>
      <c r="G872" s="1391"/>
      <c r="H872" s="1392"/>
      <c r="I872" s="1392"/>
    </row>
    <row r="873" spans="1:9" ht="15">
      <c r="A873" s="1366"/>
      <c r="B873" s="1388"/>
      <c r="C873" s="1373"/>
      <c r="D873" s="1389"/>
      <c r="E873" s="1390"/>
      <c r="F873" s="1391"/>
      <c r="G873" s="1391"/>
      <c r="H873" s="1392"/>
      <c r="I873" s="1392"/>
    </row>
    <row r="874" spans="1:9" ht="15">
      <c r="A874" s="1366"/>
      <c r="B874" s="1388"/>
      <c r="C874" s="1373"/>
      <c r="D874" s="1389"/>
      <c r="E874" s="1390"/>
      <c r="F874" s="1391"/>
      <c r="G874" s="1391"/>
      <c r="H874" s="1392"/>
      <c r="I874" s="1392"/>
    </row>
    <row r="875" spans="1:9" ht="15">
      <c r="A875" s="1366"/>
      <c r="B875" s="1388"/>
      <c r="C875" s="1373"/>
      <c r="D875" s="1389"/>
      <c r="E875" s="1390"/>
      <c r="F875" s="1391"/>
      <c r="G875" s="1391"/>
      <c r="H875" s="1392"/>
      <c r="I875" s="1392"/>
    </row>
    <row r="876" spans="1:9" ht="15">
      <c r="A876" s="1366"/>
      <c r="B876" s="1388"/>
      <c r="C876" s="1373"/>
      <c r="D876" s="1389"/>
      <c r="E876" s="1390"/>
      <c r="F876" s="1391"/>
      <c r="G876" s="1391"/>
      <c r="H876" s="1392"/>
      <c r="I876" s="1392"/>
    </row>
    <row r="877" spans="1:9" ht="15">
      <c r="A877" s="1366"/>
      <c r="B877" s="1388"/>
      <c r="C877" s="1373"/>
      <c r="D877" s="1389"/>
      <c r="E877" s="1390"/>
      <c r="F877" s="1391"/>
      <c r="G877" s="1391"/>
      <c r="H877" s="1392"/>
      <c r="I877" s="1392"/>
    </row>
    <row r="878" spans="1:9" ht="15">
      <c r="A878" s="1366"/>
      <c r="B878" s="1388"/>
      <c r="C878" s="1373"/>
      <c r="D878" s="1389"/>
      <c r="E878" s="1390"/>
      <c r="F878" s="1391"/>
      <c r="G878" s="1391"/>
      <c r="H878" s="1392"/>
      <c r="I878" s="1392"/>
    </row>
    <row r="879" spans="1:9" ht="15">
      <c r="A879" s="1366"/>
      <c r="B879" s="1388"/>
      <c r="C879" s="1373"/>
      <c r="D879" s="1389"/>
      <c r="E879" s="1390"/>
      <c r="F879" s="1391"/>
      <c r="G879" s="1391"/>
      <c r="H879" s="1392"/>
      <c r="I879" s="1392"/>
    </row>
    <row r="880" spans="1:9" ht="15">
      <c r="A880" s="1366"/>
      <c r="B880" s="1388"/>
      <c r="C880" s="1373"/>
      <c r="D880" s="1389"/>
      <c r="E880" s="1390"/>
      <c r="F880" s="1391"/>
      <c r="G880" s="1391"/>
      <c r="H880" s="1392"/>
      <c r="I880" s="1392"/>
    </row>
    <row r="881" spans="1:9" ht="15">
      <c r="A881" s="1366"/>
      <c r="B881" s="1388"/>
      <c r="C881" s="1373"/>
      <c r="D881" s="1389"/>
      <c r="E881" s="1390"/>
      <c r="F881" s="1391"/>
      <c r="G881" s="1391"/>
      <c r="H881" s="1392"/>
      <c r="I881" s="1392"/>
    </row>
    <row r="882" spans="1:9" ht="15">
      <c r="A882" s="1366"/>
      <c r="B882" s="1388"/>
      <c r="C882" s="1373"/>
      <c r="D882" s="1389"/>
      <c r="E882" s="1390"/>
      <c r="F882" s="1391"/>
      <c r="G882" s="1391"/>
      <c r="H882" s="1392"/>
      <c r="I882" s="1392"/>
    </row>
    <row r="883" spans="1:9" ht="15">
      <c r="A883" s="1366"/>
      <c r="B883" s="1388"/>
      <c r="C883" s="1373"/>
      <c r="D883" s="1389"/>
      <c r="E883" s="1390"/>
      <c r="F883" s="1391"/>
      <c r="G883" s="1391"/>
      <c r="H883" s="1392"/>
      <c r="I883" s="1392"/>
    </row>
    <row r="884" spans="1:9" ht="15">
      <c r="A884" s="1366"/>
      <c r="B884" s="1388"/>
      <c r="C884" s="1373"/>
      <c r="D884" s="1389"/>
      <c r="E884" s="1390"/>
      <c r="F884" s="1391"/>
      <c r="G884" s="1391"/>
      <c r="H884" s="1392"/>
      <c r="I884" s="1392"/>
    </row>
    <row r="885" spans="1:9" ht="15">
      <c r="A885" s="1366"/>
      <c r="B885" s="1388"/>
      <c r="C885" s="1373"/>
      <c r="D885" s="1389"/>
      <c r="E885" s="1390"/>
      <c r="F885" s="1391"/>
      <c r="G885" s="1391"/>
      <c r="H885" s="1392"/>
      <c r="I885" s="1392"/>
    </row>
    <row r="886" spans="1:9" ht="15">
      <c r="A886" s="1366"/>
      <c r="B886" s="1388"/>
      <c r="C886" s="1373"/>
      <c r="D886" s="1389"/>
      <c r="E886" s="1390"/>
      <c r="F886" s="1391"/>
      <c r="G886" s="1391"/>
      <c r="H886" s="1392"/>
      <c r="I886" s="1392"/>
    </row>
    <row r="887" spans="1:9" ht="15">
      <c r="A887" s="1366"/>
      <c r="B887" s="1388"/>
      <c r="C887" s="1373"/>
      <c r="D887" s="1389"/>
      <c r="E887" s="1390"/>
      <c r="F887" s="1391"/>
      <c r="G887" s="1391"/>
      <c r="H887" s="1392"/>
      <c r="I887" s="1392"/>
    </row>
    <row r="888" spans="1:9" ht="15">
      <c r="A888" s="1366"/>
      <c r="B888" s="1388"/>
      <c r="C888" s="1373"/>
      <c r="D888" s="1389"/>
      <c r="E888" s="1390"/>
      <c r="F888" s="1391"/>
      <c r="G888" s="1391"/>
      <c r="H888" s="1392"/>
      <c r="I888" s="1392"/>
    </row>
    <row r="889" spans="1:9" ht="15">
      <c r="A889" s="1366"/>
      <c r="B889" s="1388"/>
      <c r="C889" s="1373"/>
      <c r="D889" s="1389"/>
      <c r="E889" s="1390"/>
      <c r="F889" s="1391"/>
      <c r="G889" s="1391"/>
      <c r="H889" s="1392"/>
      <c r="I889" s="1392"/>
    </row>
    <row r="890" spans="1:9" ht="15">
      <c r="A890" s="1366"/>
      <c r="B890" s="1388"/>
      <c r="C890" s="1373"/>
      <c r="D890" s="1389"/>
      <c r="E890" s="1390"/>
      <c r="F890" s="1391"/>
      <c r="G890" s="1391"/>
      <c r="H890" s="1392"/>
      <c r="I890" s="1392"/>
    </row>
    <row r="891" spans="1:9" ht="15">
      <c r="A891" s="1366"/>
      <c r="B891" s="1388"/>
      <c r="C891" s="1373"/>
      <c r="D891" s="1389"/>
      <c r="E891" s="1390"/>
      <c r="F891" s="1391"/>
      <c r="G891" s="1391"/>
      <c r="H891" s="1392"/>
      <c r="I891" s="1392"/>
    </row>
    <row r="892" spans="1:9" ht="15">
      <c r="A892" s="1366"/>
      <c r="B892" s="1388"/>
      <c r="C892" s="1373"/>
      <c r="D892" s="1389"/>
      <c r="E892" s="1390"/>
      <c r="F892" s="1391"/>
      <c r="G892" s="1391"/>
      <c r="H892" s="1392"/>
      <c r="I892" s="1392"/>
    </row>
    <row r="893" spans="1:9" ht="15">
      <c r="A893" s="1366"/>
      <c r="B893" s="1388"/>
      <c r="C893" s="1373"/>
      <c r="D893" s="1389"/>
      <c r="E893" s="1390"/>
      <c r="F893" s="1391"/>
      <c r="G893" s="1391"/>
      <c r="H893" s="1392"/>
      <c r="I893" s="1392"/>
    </row>
    <row r="894" spans="1:9" ht="15">
      <c r="A894" s="1366"/>
      <c r="B894" s="1388"/>
      <c r="C894" s="1373"/>
      <c r="D894" s="1389"/>
      <c r="E894" s="1390"/>
      <c r="F894" s="1391"/>
      <c r="G894" s="1391"/>
      <c r="H894" s="1392"/>
      <c r="I894" s="1392"/>
    </row>
    <row r="895" spans="1:9" ht="15">
      <c r="A895" s="1366"/>
      <c r="B895" s="1388"/>
      <c r="C895" s="1373"/>
      <c r="D895" s="1389"/>
      <c r="E895" s="1390"/>
      <c r="F895" s="1391"/>
      <c r="G895" s="1391"/>
      <c r="H895" s="1392"/>
      <c r="I895" s="1392"/>
    </row>
    <row r="896" spans="1:9" ht="15">
      <c r="A896" s="1366"/>
      <c r="B896" s="1388"/>
      <c r="C896" s="1373"/>
      <c r="D896" s="1389"/>
      <c r="E896" s="1390"/>
      <c r="F896" s="1391"/>
      <c r="G896" s="1391"/>
      <c r="H896" s="1392"/>
      <c r="I896" s="1392"/>
    </row>
    <row r="897" spans="1:9" ht="15">
      <c r="A897" s="1366"/>
      <c r="B897" s="1388"/>
      <c r="C897" s="1373"/>
      <c r="D897" s="1389"/>
      <c r="E897" s="1390"/>
      <c r="F897" s="1391"/>
      <c r="G897" s="1391"/>
      <c r="H897" s="1392"/>
      <c r="I897" s="1392"/>
    </row>
    <row r="898" spans="1:9" ht="15">
      <c r="A898" s="1366"/>
      <c r="B898" s="1388"/>
      <c r="C898" s="1373"/>
      <c r="D898" s="1389"/>
      <c r="E898" s="1390"/>
      <c r="F898" s="1391"/>
      <c r="G898" s="1391"/>
      <c r="H898" s="1392"/>
      <c r="I898" s="1392"/>
    </row>
    <row r="899" spans="1:9" ht="15">
      <c r="A899" s="1366"/>
      <c r="B899" s="1388"/>
      <c r="C899" s="1373"/>
      <c r="D899" s="1389"/>
      <c r="E899" s="1390"/>
      <c r="F899" s="1391"/>
      <c r="G899" s="1391"/>
      <c r="H899" s="1392"/>
      <c r="I899" s="1392"/>
    </row>
    <row r="900" spans="1:9" ht="15">
      <c r="A900" s="1366"/>
      <c r="B900" s="1388"/>
      <c r="C900" s="1373"/>
      <c r="D900" s="1389"/>
      <c r="E900" s="1390"/>
      <c r="F900" s="1391"/>
      <c r="G900" s="1391"/>
      <c r="H900" s="1392"/>
      <c r="I900" s="1392"/>
    </row>
    <row r="901" spans="1:9" ht="15">
      <c r="A901" s="1366"/>
      <c r="B901" s="1388"/>
      <c r="C901" s="1373"/>
      <c r="D901" s="1389"/>
      <c r="E901" s="1390"/>
      <c r="F901" s="1391"/>
      <c r="G901" s="1391"/>
      <c r="H901" s="1392"/>
      <c r="I901" s="1392"/>
    </row>
    <row r="902" spans="1:9" ht="15">
      <c r="A902" s="1366"/>
      <c r="B902" s="1388"/>
      <c r="C902" s="1373"/>
      <c r="D902" s="1389"/>
      <c r="E902" s="1390"/>
      <c r="F902" s="1391"/>
      <c r="G902" s="1391"/>
      <c r="H902" s="1392"/>
      <c r="I902" s="1392"/>
    </row>
    <row r="903" spans="1:9" ht="15">
      <c r="A903" s="1366"/>
      <c r="B903" s="1388"/>
      <c r="C903" s="1373"/>
      <c r="D903" s="1389"/>
      <c r="E903" s="1390"/>
      <c r="F903" s="1391"/>
      <c r="G903" s="1391"/>
      <c r="H903" s="1392"/>
      <c r="I903" s="1392"/>
    </row>
    <row r="904" spans="1:9" ht="15">
      <c r="A904" s="1366"/>
      <c r="B904" s="1388"/>
      <c r="C904" s="1373"/>
      <c r="D904" s="1389"/>
      <c r="E904" s="1390"/>
      <c r="F904" s="1391"/>
      <c r="G904" s="1391"/>
      <c r="H904" s="1392"/>
      <c r="I904" s="1392"/>
    </row>
    <row r="905" spans="1:9" ht="15">
      <c r="A905" s="1366"/>
      <c r="B905" s="1388"/>
      <c r="C905" s="1373"/>
      <c r="D905" s="1389"/>
      <c r="E905" s="1390"/>
      <c r="F905" s="1391"/>
      <c r="G905" s="1391"/>
      <c r="H905" s="1392"/>
      <c r="I905" s="1392"/>
    </row>
    <row r="906" spans="1:9" ht="15">
      <c r="A906" s="1366"/>
      <c r="B906" s="1388"/>
      <c r="C906" s="1373"/>
      <c r="D906" s="1389"/>
      <c r="E906" s="1390"/>
      <c r="F906" s="1391"/>
      <c r="G906" s="1391"/>
      <c r="H906" s="1392"/>
      <c r="I906" s="1392"/>
    </row>
    <row r="907" spans="1:9" ht="15">
      <c r="A907" s="1366"/>
      <c r="B907" s="1388"/>
      <c r="C907" s="1373"/>
      <c r="D907" s="1389"/>
      <c r="E907" s="1390"/>
      <c r="F907" s="1391"/>
      <c r="G907" s="1391"/>
      <c r="H907" s="1392"/>
      <c r="I907" s="1392"/>
    </row>
    <row r="908" spans="1:9" ht="15">
      <c r="A908" s="1366"/>
      <c r="B908" s="1388"/>
      <c r="C908" s="1373"/>
      <c r="D908" s="1389"/>
      <c r="E908" s="1390"/>
      <c r="F908" s="1391"/>
      <c r="G908" s="1391"/>
      <c r="H908" s="1392"/>
      <c r="I908" s="1392"/>
    </row>
    <row r="909" spans="1:9" ht="15">
      <c r="A909" s="1366"/>
      <c r="B909" s="1388"/>
      <c r="C909" s="1373"/>
      <c r="D909" s="1389"/>
      <c r="E909" s="1390"/>
      <c r="F909" s="1391"/>
      <c r="G909" s="1391"/>
      <c r="H909" s="1392"/>
      <c r="I909" s="1392"/>
    </row>
    <row r="910" spans="1:9" ht="15">
      <c r="A910" s="1366"/>
      <c r="B910" s="1388"/>
      <c r="C910" s="1373"/>
      <c r="D910" s="1389"/>
      <c r="E910" s="1390"/>
      <c r="F910" s="1391"/>
      <c r="G910" s="1391"/>
      <c r="H910" s="1392"/>
      <c r="I910" s="1392"/>
    </row>
    <row r="911" spans="1:9" ht="15">
      <c r="A911" s="1366"/>
      <c r="B911" s="1388"/>
      <c r="C911" s="1373"/>
      <c r="D911" s="1389"/>
      <c r="E911" s="1390"/>
      <c r="F911" s="1391"/>
      <c r="G911" s="1391"/>
      <c r="H911" s="1392"/>
      <c r="I911" s="1392"/>
    </row>
    <row r="912" spans="1:9" ht="15">
      <c r="A912" s="1366"/>
      <c r="B912" s="1388"/>
      <c r="C912" s="1373"/>
      <c r="D912" s="1389"/>
      <c r="E912" s="1390"/>
      <c r="F912" s="1391"/>
      <c r="G912" s="1391"/>
      <c r="H912" s="1392"/>
      <c r="I912" s="1392"/>
    </row>
    <row r="913" spans="1:9" ht="15">
      <c r="A913" s="1366"/>
      <c r="B913" s="1388"/>
      <c r="C913" s="1373"/>
      <c r="D913" s="1389"/>
      <c r="E913" s="1390"/>
      <c r="F913" s="1391"/>
      <c r="G913" s="1391"/>
      <c r="H913" s="1392"/>
      <c r="I913" s="1392"/>
    </row>
    <row r="914" spans="1:9" ht="15">
      <c r="A914" s="1366"/>
      <c r="B914" s="1388"/>
      <c r="C914" s="1373"/>
      <c r="D914" s="1389"/>
      <c r="E914" s="1390"/>
      <c r="F914" s="1391"/>
      <c r="G914" s="1391"/>
      <c r="H914" s="1392"/>
      <c r="I914" s="1392"/>
    </row>
    <row r="915" spans="1:9" ht="15">
      <c r="A915" s="1366"/>
      <c r="B915" s="1388"/>
      <c r="C915" s="1373"/>
      <c r="D915" s="1389"/>
      <c r="E915" s="1390"/>
      <c r="F915" s="1391"/>
      <c r="G915" s="1391"/>
      <c r="H915" s="1392"/>
      <c r="I915" s="1392"/>
    </row>
    <row r="916" spans="1:9" ht="15">
      <c r="A916" s="1366"/>
      <c r="B916" s="1388"/>
      <c r="C916" s="1373"/>
      <c r="D916" s="1389"/>
      <c r="E916" s="1390"/>
      <c r="F916" s="1391"/>
      <c r="G916" s="1391"/>
      <c r="H916" s="1392"/>
      <c r="I916" s="1392"/>
    </row>
    <row r="917" spans="1:9" ht="15">
      <c r="A917" s="1366"/>
      <c r="B917" s="1388"/>
      <c r="C917" s="1373"/>
      <c r="D917" s="1389"/>
      <c r="E917" s="1390"/>
      <c r="F917" s="1391"/>
      <c r="G917" s="1391"/>
      <c r="H917" s="1392"/>
      <c r="I917" s="1392"/>
    </row>
    <row r="918" spans="1:9" ht="15">
      <c r="A918" s="1366"/>
      <c r="B918" s="1388"/>
      <c r="C918" s="1373"/>
      <c r="D918" s="1389"/>
      <c r="E918" s="1390"/>
      <c r="F918" s="1391"/>
      <c r="G918" s="1391"/>
      <c r="H918" s="1392"/>
      <c r="I918" s="1392"/>
    </row>
    <row r="919" spans="1:9" ht="15">
      <c r="A919" s="1366"/>
      <c r="B919" s="1388"/>
      <c r="C919" s="1373"/>
      <c r="D919" s="1389"/>
      <c r="E919" s="1390"/>
      <c r="F919" s="1391"/>
      <c r="G919" s="1391"/>
      <c r="H919" s="1392"/>
      <c r="I919" s="1392"/>
    </row>
    <row r="920" spans="1:9" ht="15">
      <c r="A920" s="1366"/>
      <c r="B920" s="1388"/>
      <c r="C920" s="1373"/>
      <c r="D920" s="1389"/>
      <c r="E920" s="1390"/>
      <c r="F920" s="1391"/>
      <c r="G920" s="1391"/>
      <c r="H920" s="1392"/>
      <c r="I920" s="1392"/>
    </row>
    <row r="921" spans="1:9" ht="15">
      <c r="A921" s="1366"/>
      <c r="B921" s="1388"/>
      <c r="C921" s="1373"/>
      <c r="D921" s="1389"/>
      <c r="E921" s="1390"/>
      <c r="F921" s="1391"/>
      <c r="G921" s="1391"/>
      <c r="H921" s="1392"/>
      <c r="I921" s="1392"/>
    </row>
    <row r="922" spans="1:9" ht="15">
      <c r="A922" s="1366"/>
      <c r="B922" s="1388"/>
      <c r="C922" s="1373"/>
      <c r="D922" s="1389"/>
      <c r="E922" s="1390"/>
      <c r="F922" s="1391"/>
      <c r="G922" s="1391"/>
      <c r="H922" s="1392"/>
      <c r="I922" s="1392"/>
    </row>
    <row r="923" spans="1:9" ht="15">
      <c r="A923" s="1366"/>
      <c r="B923" s="1388"/>
      <c r="C923" s="1373"/>
      <c r="D923" s="1389"/>
      <c r="E923" s="1390"/>
      <c r="F923" s="1391"/>
      <c r="G923" s="1391"/>
      <c r="H923" s="1392"/>
      <c r="I923" s="1392"/>
    </row>
    <row r="924" spans="1:9" ht="15">
      <c r="A924" s="1366"/>
      <c r="B924" s="1388"/>
      <c r="C924" s="1373"/>
      <c r="D924" s="1389"/>
      <c r="E924" s="1390"/>
      <c r="F924" s="1391"/>
      <c r="G924" s="1391"/>
      <c r="H924" s="1392"/>
      <c r="I924" s="1392"/>
    </row>
    <row r="925" spans="1:9" ht="15">
      <c r="A925" s="1366"/>
      <c r="B925" s="1388"/>
      <c r="C925" s="1373"/>
      <c r="D925" s="1389"/>
      <c r="E925" s="1390"/>
      <c r="F925" s="1391"/>
      <c r="G925" s="1391"/>
      <c r="H925" s="1392"/>
      <c r="I925" s="1392"/>
    </row>
    <row r="926" spans="1:9" ht="15">
      <c r="A926" s="1366"/>
      <c r="B926" s="1388"/>
      <c r="C926" s="1373"/>
      <c r="D926" s="1389"/>
      <c r="E926" s="1390"/>
      <c r="F926" s="1391"/>
      <c r="G926" s="1391"/>
      <c r="H926" s="1392"/>
      <c r="I926" s="1392"/>
    </row>
    <row r="927" spans="1:9" ht="15">
      <c r="A927" s="1366"/>
      <c r="B927" s="1388"/>
      <c r="C927" s="1373"/>
      <c r="D927" s="1389"/>
      <c r="E927" s="1390"/>
      <c r="F927" s="1391"/>
      <c r="G927" s="1391"/>
      <c r="H927" s="1392"/>
      <c r="I927" s="1392"/>
    </row>
    <row r="928" spans="1:9" ht="15">
      <c r="A928" s="1366"/>
      <c r="B928" s="1388"/>
      <c r="C928" s="1373"/>
      <c r="D928" s="1389"/>
      <c r="E928" s="1390"/>
      <c r="F928" s="1391"/>
      <c r="G928" s="1391"/>
      <c r="H928" s="1392"/>
      <c r="I928" s="1392"/>
    </row>
    <row r="929" spans="1:9" ht="15">
      <c r="A929" s="1366"/>
      <c r="B929" s="1388"/>
      <c r="C929" s="1373"/>
      <c r="D929" s="1389"/>
      <c r="E929" s="1390"/>
      <c r="F929" s="1391"/>
      <c r="G929" s="1391"/>
      <c r="H929" s="1392"/>
      <c r="I929" s="1392"/>
    </row>
    <row r="930" spans="1:9" ht="15">
      <c r="A930" s="1366"/>
      <c r="B930" s="1388"/>
      <c r="C930" s="1373"/>
      <c r="D930" s="1389"/>
      <c r="E930" s="1390"/>
      <c r="F930" s="1391"/>
      <c r="G930" s="1391"/>
      <c r="H930" s="1392"/>
      <c r="I930" s="1392"/>
    </row>
    <row r="931" spans="1:9" ht="15">
      <c r="A931" s="1366"/>
      <c r="B931" s="1388"/>
      <c r="C931" s="1373"/>
      <c r="D931" s="1389"/>
      <c r="E931" s="1390"/>
      <c r="F931" s="1391"/>
      <c r="G931" s="1391"/>
      <c r="H931" s="1392"/>
      <c r="I931" s="1392"/>
    </row>
    <row r="932" spans="1:9" ht="15">
      <c r="A932" s="1366"/>
      <c r="B932" s="1388"/>
      <c r="C932" s="1373"/>
      <c r="D932" s="1389"/>
      <c r="E932" s="1390"/>
      <c r="F932" s="1391"/>
      <c r="G932" s="1391"/>
      <c r="H932" s="1392"/>
      <c r="I932" s="1392"/>
    </row>
    <row r="933" spans="1:9" ht="15">
      <c r="A933" s="1366"/>
      <c r="B933" s="1388"/>
      <c r="C933" s="1373"/>
      <c r="D933" s="1389"/>
      <c r="E933" s="1390"/>
      <c r="F933" s="1391"/>
      <c r="G933" s="1391"/>
      <c r="H933" s="1392"/>
      <c r="I933" s="1392"/>
    </row>
    <row r="934" spans="1:9" ht="15">
      <c r="A934" s="1366"/>
      <c r="B934" s="1388"/>
      <c r="C934" s="1373"/>
      <c r="D934" s="1389"/>
      <c r="E934" s="1390"/>
      <c r="F934" s="1391"/>
      <c r="G934" s="1391"/>
      <c r="H934" s="1392"/>
      <c r="I934" s="1392"/>
    </row>
    <row r="935" spans="1:9" ht="15">
      <c r="A935" s="1366"/>
      <c r="B935" s="1388"/>
      <c r="C935" s="1373"/>
      <c r="D935" s="1389"/>
      <c r="E935" s="1390"/>
      <c r="F935" s="1391"/>
      <c r="G935" s="1391"/>
      <c r="H935" s="1392"/>
      <c r="I935" s="1392"/>
    </row>
    <row r="936" spans="1:9" ht="15">
      <c r="A936" s="1366"/>
      <c r="B936" s="1388"/>
      <c r="C936" s="1373"/>
      <c r="D936" s="1389"/>
      <c r="E936" s="1390"/>
      <c r="F936" s="1391"/>
      <c r="G936" s="1391"/>
      <c r="H936" s="1392"/>
      <c r="I936" s="1392"/>
    </row>
    <row r="937" spans="1:9" ht="15">
      <c r="A937" s="1366"/>
      <c r="B937" s="1388"/>
      <c r="C937" s="1373"/>
      <c r="D937" s="1389"/>
      <c r="E937" s="1390"/>
      <c r="F937" s="1391"/>
      <c r="G937" s="1391"/>
      <c r="H937" s="1392"/>
      <c r="I937" s="1392"/>
    </row>
    <row r="938" spans="1:9" ht="15">
      <c r="A938" s="1366"/>
      <c r="B938" s="1388"/>
      <c r="C938" s="1373"/>
      <c r="D938" s="1389"/>
      <c r="E938" s="1390"/>
      <c r="F938" s="1391"/>
      <c r="G938" s="1391"/>
      <c r="H938" s="1392"/>
      <c r="I938" s="1392"/>
    </row>
    <row r="939" spans="1:9" ht="15">
      <c r="A939" s="1366"/>
      <c r="B939" s="1388"/>
      <c r="C939" s="1373"/>
      <c r="D939" s="1389"/>
      <c r="E939" s="1390"/>
      <c r="F939" s="1391"/>
      <c r="G939" s="1391"/>
      <c r="H939" s="1392"/>
      <c r="I939" s="1392"/>
    </row>
    <row r="940" spans="1:9" ht="15">
      <c r="A940" s="1366"/>
      <c r="B940" s="1388"/>
      <c r="C940" s="1373"/>
      <c r="D940" s="1389"/>
      <c r="E940" s="1390"/>
      <c r="F940" s="1391"/>
      <c r="G940" s="1391"/>
      <c r="H940" s="1392"/>
      <c r="I940" s="1392"/>
    </row>
    <row r="941" spans="1:9" ht="15">
      <c r="A941" s="1366"/>
      <c r="B941" s="1388"/>
      <c r="C941" s="1373"/>
      <c r="D941" s="1389"/>
      <c r="E941" s="1390"/>
      <c r="F941" s="1391"/>
      <c r="G941" s="1391"/>
      <c r="H941" s="1392"/>
      <c r="I941" s="1392"/>
    </row>
    <row r="942" spans="1:9" ht="15">
      <c r="A942" s="1366"/>
      <c r="B942" s="1388"/>
      <c r="C942" s="1373"/>
      <c r="D942" s="1389"/>
      <c r="E942" s="1390"/>
      <c r="F942" s="1391"/>
      <c r="G942" s="1391"/>
      <c r="H942" s="1392"/>
      <c r="I942" s="1392"/>
    </row>
    <row r="943" spans="1:9" ht="15">
      <c r="A943" s="1366"/>
      <c r="B943" s="1388"/>
      <c r="C943" s="1373"/>
      <c r="D943" s="1389"/>
      <c r="E943" s="1390"/>
      <c r="F943" s="1391"/>
      <c r="G943" s="1391"/>
      <c r="H943" s="1392"/>
      <c r="I943" s="1392"/>
    </row>
    <row r="944" spans="1:9" ht="15">
      <c r="A944" s="1366"/>
      <c r="B944" s="1388"/>
      <c r="C944" s="1373"/>
      <c r="D944" s="1389"/>
      <c r="E944" s="1390"/>
      <c r="F944" s="1391"/>
      <c r="G944" s="1391"/>
      <c r="H944" s="1392"/>
      <c r="I944" s="1392"/>
    </row>
    <row r="945" spans="1:9" ht="15">
      <c r="A945" s="1366"/>
      <c r="B945" s="1388"/>
      <c r="C945" s="1373"/>
      <c r="D945" s="1389"/>
      <c r="E945" s="1390"/>
      <c r="F945" s="1391"/>
      <c r="G945" s="1391"/>
      <c r="H945" s="1392"/>
      <c r="I945" s="1392"/>
    </row>
    <row r="946" spans="1:9" ht="15">
      <c r="A946" s="1366"/>
      <c r="B946" s="1388"/>
      <c r="C946" s="1373"/>
      <c r="D946" s="1389"/>
      <c r="E946" s="1390"/>
      <c r="F946" s="1391"/>
      <c r="G946" s="1391"/>
      <c r="H946" s="1392"/>
      <c r="I946" s="1392"/>
    </row>
    <row r="947" spans="1:9" ht="15">
      <c r="A947" s="1366"/>
      <c r="B947" s="1388"/>
      <c r="C947" s="1373"/>
      <c r="D947" s="1389"/>
      <c r="E947" s="1390"/>
      <c r="F947" s="1391"/>
      <c r="G947" s="1391"/>
      <c r="H947" s="1392"/>
      <c r="I947" s="1392"/>
    </row>
    <row r="948" spans="1:9" ht="15">
      <c r="A948" s="1366"/>
      <c r="B948" s="1388"/>
      <c r="C948" s="1373"/>
      <c r="D948" s="1389"/>
      <c r="E948" s="1390"/>
      <c r="F948" s="1391"/>
      <c r="G948" s="1391"/>
      <c r="H948" s="1392"/>
      <c r="I948" s="1392"/>
    </row>
    <row r="949" spans="1:9" ht="15">
      <c r="A949" s="1366"/>
      <c r="B949" s="1388"/>
      <c r="C949" s="1373"/>
      <c r="D949" s="1389"/>
      <c r="E949" s="1390"/>
      <c r="F949" s="1391"/>
      <c r="G949" s="1391"/>
      <c r="H949" s="1392"/>
      <c r="I949" s="1392"/>
    </row>
    <row r="950" spans="1:9" ht="15">
      <c r="A950" s="1366"/>
      <c r="B950" s="1388"/>
      <c r="C950" s="1373"/>
      <c r="D950" s="1389"/>
      <c r="E950" s="1390"/>
      <c r="F950" s="1391"/>
      <c r="G950" s="1391"/>
      <c r="H950" s="1392"/>
      <c r="I950" s="1392"/>
    </row>
    <row r="951" spans="1:9" ht="15">
      <c r="A951" s="1366"/>
      <c r="B951" s="1388"/>
      <c r="C951" s="1373"/>
      <c r="D951" s="1389"/>
      <c r="E951" s="1390"/>
      <c r="F951" s="1391"/>
      <c r="G951" s="1391"/>
      <c r="H951" s="1392"/>
      <c r="I951" s="1392"/>
    </row>
    <row r="952" spans="1:9" ht="15">
      <c r="A952" s="1366"/>
      <c r="B952" s="1388"/>
      <c r="C952" s="1373"/>
      <c r="D952" s="1389"/>
      <c r="E952" s="1390"/>
      <c r="F952" s="1391"/>
      <c r="G952" s="1391"/>
      <c r="H952" s="1392"/>
      <c r="I952" s="1392"/>
    </row>
    <row r="953" spans="1:9" ht="15">
      <c r="A953" s="1366"/>
      <c r="B953" s="1388"/>
      <c r="C953" s="1373"/>
      <c r="D953" s="1389"/>
      <c r="E953" s="1390"/>
      <c r="F953" s="1391"/>
      <c r="G953" s="1391"/>
      <c r="H953" s="1392"/>
      <c r="I953" s="1392"/>
    </row>
    <row r="954" spans="1:9" ht="15">
      <c r="A954" s="1366"/>
      <c r="B954" s="1388"/>
      <c r="C954" s="1373"/>
      <c r="D954" s="1389"/>
      <c r="E954" s="1390"/>
      <c r="F954" s="1391"/>
      <c r="G954" s="1391"/>
      <c r="H954" s="1392"/>
      <c r="I954" s="1392"/>
    </row>
    <row r="955" spans="1:9" ht="15">
      <c r="A955" s="1366"/>
      <c r="B955" s="1388"/>
      <c r="C955" s="1373"/>
      <c r="D955" s="1389"/>
      <c r="E955" s="1390"/>
      <c r="F955" s="1391"/>
      <c r="G955" s="1391"/>
      <c r="H955" s="1392"/>
      <c r="I955" s="1392"/>
    </row>
    <row r="956" spans="1:9" ht="15">
      <c r="A956" s="1366"/>
      <c r="B956" s="1388"/>
      <c r="C956" s="1373"/>
      <c r="D956" s="1389"/>
      <c r="E956" s="1390"/>
      <c r="F956" s="1391"/>
      <c r="G956" s="1391"/>
      <c r="H956" s="1392"/>
      <c r="I956" s="1392"/>
    </row>
    <row r="957" spans="1:9" ht="15">
      <c r="A957" s="1366"/>
      <c r="B957" s="1388"/>
      <c r="C957" s="1373"/>
      <c r="D957" s="1389"/>
      <c r="E957" s="1390"/>
      <c r="F957" s="1391"/>
      <c r="G957" s="1391"/>
      <c r="H957" s="1392"/>
      <c r="I957" s="1392"/>
    </row>
    <row r="958" spans="1:9" ht="15">
      <c r="A958" s="1366"/>
      <c r="B958" s="1388"/>
      <c r="C958" s="1373"/>
      <c r="D958" s="1389"/>
      <c r="E958" s="1390"/>
      <c r="F958" s="1391"/>
      <c r="G958" s="1391"/>
      <c r="H958" s="1392"/>
      <c r="I958" s="1392"/>
    </row>
    <row r="959" spans="1:9" ht="15">
      <c r="A959" s="1366"/>
      <c r="B959" s="1388"/>
      <c r="C959" s="1373"/>
      <c r="D959" s="1389"/>
      <c r="E959" s="1390"/>
      <c r="F959" s="1391"/>
      <c r="G959" s="1391"/>
      <c r="H959" s="1392"/>
      <c r="I959" s="1392"/>
    </row>
    <row r="960" spans="1:9" ht="15">
      <c r="A960" s="1366"/>
      <c r="B960" s="1388"/>
      <c r="C960" s="1373"/>
      <c r="D960" s="1389"/>
      <c r="E960" s="1390"/>
      <c r="F960" s="1391"/>
      <c r="G960" s="1391"/>
      <c r="H960" s="1392"/>
      <c r="I960" s="1392"/>
    </row>
    <row r="961" spans="1:9" ht="15">
      <c r="A961" s="1366"/>
      <c r="B961" s="1388"/>
      <c r="C961" s="1373"/>
      <c r="D961" s="1389"/>
      <c r="E961" s="1390"/>
      <c r="F961" s="1391"/>
      <c r="G961" s="1391"/>
      <c r="H961" s="1392"/>
      <c r="I961" s="1392"/>
    </row>
    <row r="962" spans="1:9" ht="15">
      <c r="A962" s="1366"/>
      <c r="B962" s="1388"/>
      <c r="C962" s="1373"/>
      <c r="D962" s="1389"/>
      <c r="E962" s="1390"/>
      <c r="F962" s="1391"/>
      <c r="G962" s="1391"/>
      <c r="H962" s="1392"/>
      <c r="I962" s="1392"/>
    </row>
    <row r="963" spans="1:9" ht="15">
      <c r="A963" s="1366"/>
      <c r="B963" s="1388"/>
      <c r="C963" s="1373"/>
      <c r="D963" s="1389"/>
      <c r="E963" s="1390"/>
      <c r="F963" s="1391"/>
      <c r="G963" s="1391"/>
      <c r="H963" s="1392"/>
      <c r="I963" s="1392"/>
    </row>
    <row r="964" spans="1:9" ht="15">
      <c r="A964" s="1366"/>
      <c r="B964" s="1388"/>
      <c r="C964" s="1373"/>
      <c r="D964" s="1389"/>
      <c r="E964" s="1390"/>
      <c r="F964" s="1391"/>
      <c r="G964" s="1391"/>
      <c r="H964" s="1392"/>
      <c r="I964" s="1392"/>
    </row>
    <row r="965" spans="1:9" ht="15">
      <c r="A965" s="1366"/>
      <c r="B965" s="1388"/>
      <c r="C965" s="1373"/>
      <c r="D965" s="1389"/>
      <c r="E965" s="1390"/>
      <c r="F965" s="1391"/>
      <c r="G965" s="1391"/>
      <c r="H965" s="1392"/>
      <c r="I965" s="1392"/>
    </row>
    <row r="966" spans="1:9" ht="15">
      <c r="A966" s="1366"/>
      <c r="B966" s="1388"/>
      <c r="C966" s="1373"/>
      <c r="D966" s="1389"/>
      <c r="E966" s="1390"/>
      <c r="F966" s="1391"/>
      <c r="G966" s="1391"/>
      <c r="H966" s="1392"/>
      <c r="I966" s="1392"/>
    </row>
    <row r="967" spans="1:9" ht="15">
      <c r="A967" s="1366"/>
      <c r="B967" s="1388"/>
      <c r="C967" s="1373"/>
      <c r="D967" s="1389"/>
      <c r="E967" s="1390"/>
      <c r="F967" s="1391"/>
      <c r="G967" s="1391"/>
      <c r="H967" s="1392"/>
      <c r="I967" s="1392"/>
    </row>
    <row r="968" spans="1:9" ht="15">
      <c r="A968" s="1366"/>
      <c r="B968" s="1388"/>
      <c r="C968" s="1373"/>
      <c r="D968" s="1389"/>
      <c r="E968" s="1390"/>
      <c r="F968" s="1391"/>
      <c r="G968" s="1391"/>
      <c r="H968" s="1392"/>
      <c r="I968" s="1392"/>
    </row>
    <row r="969" spans="1:9" ht="15">
      <c r="A969" s="1366"/>
      <c r="B969" s="1388"/>
      <c r="C969" s="1373"/>
      <c r="D969" s="1389"/>
      <c r="E969" s="1390"/>
      <c r="F969" s="1391"/>
      <c r="G969" s="1391"/>
      <c r="H969" s="1392"/>
      <c r="I969" s="1392"/>
    </row>
    <row r="970" spans="1:9" ht="15">
      <c r="A970" s="1366"/>
      <c r="B970" s="1388"/>
      <c r="C970" s="1373"/>
      <c r="D970" s="1389"/>
      <c r="E970" s="1390"/>
      <c r="F970" s="1391"/>
      <c r="G970" s="1391"/>
      <c r="H970" s="1392"/>
      <c r="I970" s="1392"/>
    </row>
    <row r="971" spans="1:9" ht="15">
      <c r="A971" s="1366"/>
      <c r="B971" s="1388"/>
      <c r="C971" s="1373"/>
      <c r="D971" s="1389"/>
      <c r="E971" s="1390"/>
      <c r="F971" s="1391"/>
      <c r="G971" s="1391"/>
      <c r="H971" s="1392"/>
      <c r="I971" s="1392"/>
    </row>
    <row r="972" spans="1:9" ht="15">
      <c r="A972" s="1366"/>
      <c r="B972" s="1388"/>
      <c r="C972" s="1373"/>
      <c r="D972" s="1389"/>
      <c r="E972" s="1390"/>
      <c r="F972" s="1391"/>
      <c r="G972" s="1391"/>
      <c r="H972" s="1392"/>
      <c r="I972" s="1392"/>
    </row>
    <row r="973" spans="1:9" ht="15">
      <c r="A973" s="1366"/>
      <c r="B973" s="1388"/>
      <c r="C973" s="1373"/>
      <c r="D973" s="1389"/>
      <c r="E973" s="1390"/>
      <c r="F973" s="1391"/>
      <c r="G973" s="1391"/>
      <c r="H973" s="1392"/>
      <c r="I973" s="1392"/>
    </row>
    <row r="974" spans="1:9" ht="15">
      <c r="A974" s="1366"/>
      <c r="B974" s="1388"/>
      <c r="C974" s="1373"/>
      <c r="D974" s="1389"/>
      <c r="E974" s="1390"/>
      <c r="F974" s="1391"/>
      <c r="G974" s="1391"/>
      <c r="H974" s="1392"/>
      <c r="I974" s="1392"/>
    </row>
    <row r="975" spans="1:9" ht="15">
      <c r="A975" s="1366"/>
      <c r="B975" s="1388"/>
      <c r="C975" s="1373"/>
      <c r="D975" s="1389"/>
      <c r="E975" s="1390"/>
      <c r="F975" s="1391"/>
      <c r="G975" s="1391"/>
      <c r="H975" s="1392"/>
      <c r="I975" s="1392"/>
    </row>
    <row r="976" spans="1:9" ht="15">
      <c r="A976" s="1366"/>
      <c r="B976" s="1388"/>
      <c r="C976" s="1373"/>
      <c r="D976" s="1389"/>
      <c r="E976" s="1390"/>
      <c r="F976" s="1391"/>
      <c r="G976" s="1391"/>
      <c r="H976" s="1392"/>
      <c r="I976" s="1392"/>
    </row>
    <row r="977" spans="1:9" ht="15">
      <c r="A977" s="1366"/>
      <c r="B977" s="1388"/>
      <c r="C977" s="1373"/>
      <c r="D977" s="1389"/>
      <c r="E977" s="1390"/>
      <c r="F977" s="1391"/>
      <c r="G977" s="1391"/>
      <c r="H977" s="1392"/>
      <c r="I977" s="1392"/>
    </row>
    <row r="978" spans="1:9" ht="15">
      <c r="A978" s="1366"/>
      <c r="B978" s="1388"/>
      <c r="C978" s="1373"/>
      <c r="D978" s="1389"/>
      <c r="E978" s="1390"/>
      <c r="F978" s="1391"/>
      <c r="G978" s="1391"/>
      <c r="H978" s="1392"/>
      <c r="I978" s="1392"/>
    </row>
    <row r="979" spans="1:9" ht="15">
      <c r="A979" s="1366"/>
      <c r="B979" s="1388"/>
      <c r="C979" s="1373"/>
      <c r="D979" s="1389"/>
      <c r="E979" s="1390"/>
      <c r="F979" s="1391"/>
      <c r="G979" s="1391"/>
      <c r="H979" s="1392"/>
      <c r="I979" s="1392"/>
    </row>
    <row r="980" spans="1:9" ht="15">
      <c r="A980" s="1366"/>
      <c r="B980" s="1388"/>
      <c r="C980" s="1373"/>
      <c r="D980" s="1389"/>
      <c r="E980" s="1390"/>
      <c r="F980" s="1391"/>
      <c r="G980" s="1391"/>
      <c r="H980" s="1392"/>
      <c r="I980" s="1392"/>
    </row>
    <row r="981" spans="1:9" ht="15">
      <c r="A981" s="1366"/>
      <c r="B981" s="1388"/>
      <c r="C981" s="1373"/>
      <c r="D981" s="1389"/>
      <c r="E981" s="1390"/>
      <c r="F981" s="1391"/>
      <c r="G981" s="1391"/>
      <c r="H981" s="1392"/>
      <c r="I981" s="1392"/>
    </row>
    <row r="982" spans="1:9" ht="15">
      <c r="A982" s="1366"/>
      <c r="B982" s="1388"/>
      <c r="C982" s="1373"/>
      <c r="D982" s="1389"/>
      <c r="E982" s="1390"/>
      <c r="F982" s="1391"/>
      <c r="G982" s="1391"/>
      <c r="H982" s="1392"/>
      <c r="I982" s="1392"/>
    </row>
    <row r="983" spans="1:9" ht="15">
      <c r="A983" s="1366"/>
      <c r="B983" s="1388"/>
      <c r="C983" s="1373"/>
      <c r="D983" s="1389"/>
      <c r="E983" s="1390"/>
      <c r="F983" s="1391"/>
      <c r="G983" s="1391"/>
      <c r="H983" s="1392"/>
      <c r="I983" s="1392"/>
    </row>
    <row r="984" spans="1:9" ht="15">
      <c r="A984" s="1366"/>
      <c r="B984" s="1388"/>
      <c r="C984" s="1373"/>
      <c r="D984" s="1389"/>
      <c r="E984" s="1390"/>
      <c r="F984" s="1391"/>
      <c r="G984" s="1391"/>
      <c r="H984" s="1392"/>
      <c r="I984" s="1392"/>
    </row>
    <row r="985" spans="1:9" ht="15">
      <c r="A985" s="1366"/>
      <c r="B985" s="1388"/>
      <c r="C985" s="1373"/>
      <c r="D985" s="1389"/>
      <c r="E985" s="1390"/>
      <c r="F985" s="1391"/>
      <c r="G985" s="1391"/>
      <c r="H985" s="1392"/>
      <c r="I985" s="1392"/>
    </row>
    <row r="986" spans="1:9" ht="15">
      <c r="A986" s="1366"/>
      <c r="B986" s="1388"/>
      <c r="C986" s="1373"/>
      <c r="D986" s="1389"/>
      <c r="E986" s="1390"/>
      <c r="F986" s="1391"/>
      <c r="G986" s="1391"/>
      <c r="H986" s="1392"/>
      <c r="I986" s="1392"/>
    </row>
    <row r="987" spans="1:9" ht="15">
      <c r="A987" s="1366"/>
      <c r="B987" s="1388"/>
      <c r="C987" s="1373"/>
      <c r="D987" s="1389"/>
      <c r="E987" s="1390"/>
      <c r="F987" s="1391"/>
      <c r="G987" s="1391"/>
      <c r="H987" s="1392"/>
      <c r="I987" s="1392"/>
    </row>
    <row r="988" spans="1:9" ht="15">
      <c r="A988" s="1366"/>
      <c r="B988" s="1388"/>
      <c r="C988" s="1373"/>
      <c r="D988" s="1389"/>
      <c r="E988" s="1390"/>
      <c r="F988" s="1391"/>
      <c r="G988" s="1391"/>
      <c r="H988" s="1392"/>
      <c r="I988" s="1392"/>
    </row>
    <row r="989" spans="1:9" ht="15">
      <c r="A989" s="1366"/>
      <c r="B989" s="1388"/>
      <c r="C989" s="1373"/>
      <c r="D989" s="1389"/>
      <c r="E989" s="1390"/>
      <c r="F989" s="1391"/>
      <c r="G989" s="1391"/>
      <c r="H989" s="1392"/>
      <c r="I989" s="1392"/>
    </row>
    <row r="990" spans="1:9" ht="15">
      <c r="A990" s="1366"/>
      <c r="B990" s="1388"/>
      <c r="C990" s="1373"/>
      <c r="D990" s="1389"/>
      <c r="E990" s="1390"/>
      <c r="F990" s="1391"/>
      <c r="G990" s="1391"/>
      <c r="H990" s="1392"/>
      <c r="I990" s="1392"/>
    </row>
    <row r="991" spans="1:9" ht="15">
      <c r="A991" s="1366"/>
      <c r="B991" s="1388"/>
      <c r="C991" s="1373"/>
      <c r="D991" s="1389"/>
      <c r="E991" s="1390"/>
      <c r="F991" s="1391"/>
      <c r="G991" s="1391"/>
      <c r="H991" s="1392"/>
      <c r="I991" s="1392"/>
    </row>
    <row r="992" spans="1:9" ht="15">
      <c r="A992" s="1366"/>
      <c r="B992" s="1388"/>
      <c r="C992" s="1373"/>
      <c r="D992" s="1389"/>
      <c r="E992" s="1390"/>
      <c r="F992" s="1391"/>
      <c r="G992" s="1391"/>
      <c r="H992" s="1392"/>
      <c r="I992" s="1392"/>
    </row>
    <row r="993" spans="1:9" ht="15">
      <c r="A993" s="1366"/>
      <c r="B993" s="1388"/>
      <c r="C993" s="1373"/>
      <c r="D993" s="1389"/>
      <c r="E993" s="1390"/>
      <c r="F993" s="1391"/>
      <c r="G993" s="1391"/>
      <c r="H993" s="1392"/>
      <c r="I993" s="1392"/>
    </row>
    <row r="994" spans="1:9" ht="15">
      <c r="A994" s="1366"/>
      <c r="B994" s="1388"/>
      <c r="C994" s="1373"/>
      <c r="D994" s="1389"/>
      <c r="E994" s="1390"/>
      <c r="F994" s="1391"/>
      <c r="G994" s="1391"/>
      <c r="H994" s="1392"/>
      <c r="I994" s="1392"/>
    </row>
    <row r="995" spans="1:9" ht="15">
      <c r="A995" s="1366"/>
      <c r="B995" s="1388"/>
      <c r="C995" s="1373"/>
      <c r="D995" s="1389"/>
      <c r="E995" s="1390"/>
      <c r="F995" s="1391"/>
      <c r="G995" s="1391"/>
      <c r="H995" s="1392"/>
      <c r="I995" s="1392"/>
    </row>
    <row r="996" spans="1:9" ht="15">
      <c r="A996" s="1366"/>
      <c r="B996" s="1388"/>
      <c r="C996" s="1373"/>
      <c r="D996" s="1389"/>
      <c r="E996" s="1390"/>
      <c r="F996" s="1391"/>
      <c r="G996" s="1391"/>
      <c r="H996" s="1392"/>
      <c r="I996" s="1392"/>
    </row>
    <row r="997" spans="1:9" ht="15">
      <c r="A997" s="1366"/>
      <c r="B997" s="1388"/>
      <c r="C997" s="1373"/>
      <c r="D997" s="1389"/>
      <c r="E997" s="1390"/>
      <c r="F997" s="1391"/>
      <c r="G997" s="1391"/>
      <c r="H997" s="1392"/>
      <c r="I997" s="1392"/>
    </row>
    <row r="998" spans="1:9" ht="15">
      <c r="A998" s="1366"/>
      <c r="B998" s="1388"/>
      <c r="C998" s="1373"/>
      <c r="D998" s="1389"/>
      <c r="E998" s="1390"/>
      <c r="F998" s="1391"/>
      <c r="G998" s="1391"/>
      <c r="H998" s="1392"/>
      <c r="I998" s="1392"/>
    </row>
    <row r="999" spans="1:9" ht="15">
      <c r="A999" s="1366"/>
      <c r="B999" s="1388"/>
      <c r="C999" s="1373"/>
      <c r="D999" s="1389"/>
      <c r="E999" s="1390"/>
      <c r="F999" s="1391"/>
      <c r="G999" s="1391"/>
      <c r="H999" s="1392"/>
      <c r="I999" s="1392"/>
    </row>
    <row r="1000" spans="1:9" ht="15">
      <c r="A1000" s="1366"/>
      <c r="B1000" s="1388"/>
      <c r="C1000" s="1373"/>
      <c r="D1000" s="1389"/>
      <c r="E1000" s="1390"/>
      <c r="F1000" s="1391"/>
      <c r="G1000" s="1391"/>
      <c r="H1000" s="1392"/>
      <c r="I1000" s="1392"/>
    </row>
    <row r="1001" spans="1:9" ht="15">
      <c r="A1001" s="1366"/>
      <c r="B1001" s="1388"/>
      <c r="C1001" s="1373"/>
      <c r="D1001" s="1389"/>
      <c r="E1001" s="1390"/>
      <c r="F1001" s="1391"/>
      <c r="G1001" s="1391"/>
      <c r="H1001" s="1392"/>
      <c r="I1001" s="1392"/>
    </row>
    <row r="1002" spans="1:9" ht="15">
      <c r="A1002" s="1366"/>
      <c r="B1002" s="1388"/>
      <c r="C1002" s="1373"/>
      <c r="D1002" s="1389"/>
      <c r="E1002" s="1390"/>
      <c r="F1002" s="1391"/>
      <c r="G1002" s="1391"/>
      <c r="H1002" s="1392"/>
      <c r="I1002" s="1392"/>
    </row>
    <row r="1003" spans="1:9" ht="15">
      <c r="A1003" s="1366"/>
      <c r="B1003" s="1388"/>
      <c r="C1003" s="1373"/>
      <c r="D1003" s="1389"/>
      <c r="E1003" s="1390"/>
      <c r="F1003" s="1391"/>
      <c r="G1003" s="1391"/>
      <c r="H1003" s="1392"/>
      <c r="I1003" s="1392"/>
    </row>
    <row r="1004" spans="1:9" ht="15">
      <c r="A1004" s="1366"/>
      <c r="B1004" s="1388"/>
      <c r="C1004" s="1373"/>
      <c r="D1004" s="1389"/>
      <c r="E1004" s="1390"/>
      <c r="F1004" s="1391"/>
      <c r="G1004" s="1391"/>
      <c r="H1004" s="1392"/>
      <c r="I1004" s="1392"/>
    </row>
    <row r="1005" spans="1:9" ht="15">
      <c r="A1005" s="1366"/>
      <c r="B1005" s="1388"/>
      <c r="C1005" s="1373"/>
      <c r="D1005" s="1389"/>
      <c r="E1005" s="1390"/>
      <c r="F1005" s="1391"/>
      <c r="G1005" s="1391"/>
      <c r="H1005" s="1392"/>
      <c r="I1005" s="1392"/>
    </row>
    <row r="1006" spans="1:9" ht="15">
      <c r="A1006" s="1366"/>
      <c r="B1006" s="1388"/>
      <c r="C1006" s="1373"/>
      <c r="D1006" s="1389"/>
      <c r="E1006" s="1390"/>
      <c r="F1006" s="1391"/>
      <c r="G1006" s="1391"/>
      <c r="H1006" s="1392"/>
      <c r="I1006" s="1392"/>
    </row>
    <row r="1007" spans="1:9" ht="15">
      <c r="A1007" s="1366"/>
      <c r="B1007" s="1388"/>
      <c r="C1007" s="1373"/>
      <c r="D1007" s="1389"/>
      <c r="E1007" s="1390"/>
      <c r="F1007" s="1391"/>
      <c r="G1007" s="1391"/>
      <c r="H1007" s="1392"/>
      <c r="I1007" s="1392"/>
    </row>
    <row r="1008" spans="1:9" ht="15">
      <c r="A1008" s="1366"/>
      <c r="B1008" s="1388"/>
      <c r="C1008" s="1373"/>
      <c r="D1008" s="1389"/>
      <c r="E1008" s="1390"/>
      <c r="F1008" s="1391"/>
      <c r="G1008" s="1391"/>
      <c r="H1008" s="1392"/>
      <c r="I1008" s="1392"/>
    </row>
    <row r="1009" spans="1:9" ht="15">
      <c r="A1009" s="1366"/>
      <c r="B1009" s="1388"/>
      <c r="C1009" s="1373"/>
      <c r="D1009" s="1389"/>
      <c r="E1009" s="1390"/>
      <c r="F1009" s="1391"/>
      <c r="G1009" s="1391"/>
      <c r="H1009" s="1392"/>
      <c r="I1009" s="1392"/>
    </row>
    <row r="1010" spans="1:9" ht="15">
      <c r="A1010" s="1366"/>
      <c r="B1010" s="1388"/>
      <c r="C1010" s="1373"/>
      <c r="D1010" s="1389"/>
      <c r="E1010" s="1390"/>
      <c r="F1010" s="1391"/>
      <c r="G1010" s="1391"/>
      <c r="H1010" s="1392"/>
      <c r="I1010" s="1392"/>
    </row>
    <row r="1011" spans="1:9" ht="15">
      <c r="A1011" s="1366"/>
      <c r="B1011" s="1388"/>
      <c r="C1011" s="1373"/>
      <c r="D1011" s="1389"/>
      <c r="E1011" s="1390"/>
      <c r="F1011" s="1391"/>
      <c r="G1011" s="1391"/>
      <c r="H1011" s="1392"/>
      <c r="I1011" s="1392"/>
    </row>
    <row r="1012" spans="1:9" ht="15">
      <c r="A1012" s="1366"/>
      <c r="B1012" s="1388"/>
      <c r="C1012" s="1373"/>
      <c r="D1012" s="1389"/>
      <c r="E1012" s="1390"/>
      <c r="F1012" s="1391"/>
      <c r="G1012" s="1391"/>
      <c r="H1012" s="1392"/>
      <c r="I1012" s="1392"/>
    </row>
    <row r="1013" spans="1:9" ht="15">
      <c r="A1013" s="1366"/>
      <c r="B1013" s="1388"/>
      <c r="C1013" s="1373"/>
      <c r="D1013" s="1389"/>
      <c r="E1013" s="1390"/>
      <c r="F1013" s="1391"/>
      <c r="G1013" s="1391"/>
      <c r="H1013" s="1392"/>
      <c r="I1013" s="1392"/>
    </row>
    <row r="1014" spans="1:9" ht="15">
      <c r="A1014" s="1366"/>
      <c r="B1014" s="1388"/>
      <c r="C1014" s="1373"/>
      <c r="D1014" s="1389"/>
      <c r="E1014" s="1390"/>
      <c r="F1014" s="1391"/>
      <c r="G1014" s="1391"/>
      <c r="H1014" s="1392"/>
      <c r="I1014" s="1392"/>
    </row>
    <row r="1015" spans="1:9" ht="15">
      <c r="A1015" s="1366"/>
      <c r="B1015" s="1388"/>
      <c r="C1015" s="1373"/>
      <c r="D1015" s="1389"/>
      <c r="E1015" s="1390"/>
      <c r="F1015" s="1391"/>
      <c r="G1015" s="1391"/>
      <c r="H1015" s="1392"/>
      <c r="I1015" s="1392"/>
    </row>
    <row r="1016" spans="1:9" ht="15">
      <c r="A1016" s="1366"/>
      <c r="B1016" s="1388"/>
      <c r="C1016" s="1373"/>
      <c r="D1016" s="1389"/>
      <c r="E1016" s="1390"/>
      <c r="F1016" s="1391"/>
      <c r="G1016" s="1391"/>
      <c r="H1016" s="1392"/>
      <c r="I1016" s="1392"/>
    </row>
    <row r="1017" spans="1:9" ht="15">
      <c r="A1017" s="1366"/>
      <c r="B1017" s="1388"/>
      <c r="C1017" s="1373"/>
      <c r="D1017" s="1389"/>
      <c r="E1017" s="1390"/>
      <c r="F1017" s="1391"/>
      <c r="G1017" s="1391"/>
      <c r="H1017" s="1392"/>
      <c r="I1017" s="1392"/>
    </row>
    <row r="1018" spans="1:9" ht="15">
      <c r="A1018" s="1366"/>
      <c r="B1018" s="1388"/>
      <c r="C1018" s="1373"/>
      <c r="D1018" s="1389"/>
      <c r="E1018" s="1390"/>
      <c r="F1018" s="1391"/>
      <c r="G1018" s="1391"/>
      <c r="H1018" s="1392"/>
      <c r="I1018" s="1392"/>
    </row>
    <row r="1019" spans="1:9" ht="15">
      <c r="A1019" s="1366"/>
      <c r="B1019" s="1388"/>
      <c r="C1019" s="1373"/>
      <c r="D1019" s="1389"/>
      <c r="E1019" s="1390"/>
      <c r="F1019" s="1391"/>
      <c r="G1019" s="1391"/>
      <c r="H1019" s="1392"/>
      <c r="I1019" s="1392"/>
    </row>
    <row r="1020" spans="1:9" ht="15">
      <c r="A1020" s="1366"/>
      <c r="B1020" s="1388"/>
      <c r="C1020" s="1373"/>
      <c r="D1020" s="1389"/>
      <c r="E1020" s="1390"/>
      <c r="F1020" s="1391"/>
      <c r="G1020" s="1391"/>
      <c r="H1020" s="1392"/>
      <c r="I1020" s="1392"/>
    </row>
    <row r="1021" spans="1:9" ht="15">
      <c r="A1021" s="1366"/>
      <c r="B1021" s="1388"/>
      <c r="C1021" s="1373"/>
      <c r="D1021" s="1389"/>
      <c r="E1021" s="1390"/>
      <c r="F1021" s="1391"/>
      <c r="G1021" s="1391"/>
      <c r="H1021" s="1392"/>
      <c r="I1021" s="1392"/>
    </row>
    <row r="1022" spans="1:9" ht="15">
      <c r="A1022" s="1366"/>
      <c r="B1022" s="1388"/>
      <c r="C1022" s="1373"/>
      <c r="D1022" s="1389"/>
      <c r="E1022" s="1390"/>
      <c r="F1022" s="1391"/>
      <c r="G1022" s="1391"/>
      <c r="H1022" s="1392"/>
      <c r="I1022" s="1392"/>
    </row>
    <row r="1023" spans="1:9" ht="15">
      <c r="A1023" s="1366"/>
      <c r="B1023" s="1388"/>
      <c r="C1023" s="1373"/>
      <c r="D1023" s="1389"/>
      <c r="E1023" s="1390"/>
      <c r="F1023" s="1391"/>
      <c r="G1023" s="1391"/>
      <c r="H1023" s="1392"/>
      <c r="I1023" s="1392"/>
    </row>
    <row r="1024" spans="1:9" ht="15">
      <c r="A1024" s="1366"/>
      <c r="B1024" s="1388"/>
      <c r="C1024" s="1373"/>
      <c r="D1024" s="1389"/>
      <c r="E1024" s="1390"/>
      <c r="F1024" s="1391"/>
      <c r="G1024" s="1391"/>
      <c r="H1024" s="1392"/>
      <c r="I1024" s="1392"/>
    </row>
    <row r="1025" spans="1:9" ht="15">
      <c r="A1025" s="1366"/>
      <c r="B1025" s="1388"/>
      <c r="C1025" s="1373"/>
      <c r="D1025" s="1389"/>
      <c r="E1025" s="1390"/>
      <c r="F1025" s="1391"/>
      <c r="G1025" s="1391"/>
      <c r="H1025" s="1392"/>
      <c r="I1025" s="1392"/>
    </row>
    <row r="1026" spans="1:9" ht="15">
      <c r="A1026" s="1366"/>
      <c r="B1026" s="1388"/>
      <c r="C1026" s="1373"/>
      <c r="D1026" s="1389"/>
      <c r="E1026" s="1390"/>
      <c r="F1026" s="1391"/>
      <c r="G1026" s="1391"/>
      <c r="H1026" s="1392"/>
      <c r="I1026" s="1392"/>
    </row>
    <row r="1027" spans="1:9" ht="15">
      <c r="A1027" s="1366"/>
      <c r="B1027" s="1388"/>
      <c r="C1027" s="1373"/>
      <c r="D1027" s="1389"/>
      <c r="E1027" s="1390"/>
      <c r="F1027" s="1391"/>
      <c r="G1027" s="1391"/>
      <c r="H1027" s="1392"/>
      <c r="I1027" s="1392"/>
    </row>
    <row r="1028" spans="1:9" ht="15">
      <c r="A1028" s="1366"/>
      <c r="B1028" s="1388"/>
      <c r="C1028" s="1373"/>
      <c r="D1028" s="1389"/>
      <c r="E1028" s="1390"/>
      <c r="F1028" s="1391"/>
      <c r="G1028" s="1391"/>
      <c r="H1028" s="1392"/>
      <c r="I1028" s="1392"/>
    </row>
    <row r="1029" spans="1:9" ht="15">
      <c r="A1029" s="1366"/>
      <c r="B1029" s="1388"/>
      <c r="C1029" s="1373"/>
      <c r="D1029" s="1389"/>
      <c r="E1029" s="1390"/>
      <c r="F1029" s="1391"/>
      <c r="G1029" s="1391"/>
      <c r="H1029" s="1392"/>
      <c r="I1029" s="1392"/>
    </row>
    <row r="1030" spans="1:9" ht="15">
      <c r="A1030" s="1366"/>
      <c r="B1030" s="1388"/>
      <c r="C1030" s="1373"/>
      <c r="D1030" s="1389"/>
      <c r="E1030" s="1390"/>
      <c r="F1030" s="1391"/>
      <c r="G1030" s="1391"/>
      <c r="H1030" s="1392"/>
      <c r="I1030" s="1392"/>
    </row>
    <row r="1031" spans="1:9" ht="15">
      <c r="A1031" s="1366"/>
      <c r="B1031" s="1388"/>
      <c r="C1031" s="1373"/>
      <c r="D1031" s="1389"/>
      <c r="E1031" s="1390"/>
      <c r="F1031" s="1391"/>
      <c r="G1031" s="1391"/>
      <c r="H1031" s="1392"/>
      <c r="I1031" s="1392"/>
    </row>
    <row r="1032" spans="1:9" ht="15">
      <c r="A1032" s="1366"/>
      <c r="B1032" s="1388"/>
      <c r="C1032" s="1373"/>
      <c r="D1032" s="1389"/>
      <c r="E1032" s="1390"/>
      <c r="F1032" s="1391"/>
      <c r="G1032" s="1391"/>
      <c r="H1032" s="1392"/>
      <c r="I1032" s="1392"/>
    </row>
    <row r="1033" spans="1:9" ht="15">
      <c r="A1033" s="1366"/>
      <c r="B1033" s="1388"/>
      <c r="C1033" s="1373"/>
      <c r="D1033" s="1389"/>
      <c r="E1033" s="1390"/>
      <c r="F1033" s="1391"/>
      <c r="G1033" s="1391"/>
      <c r="H1033" s="1392"/>
      <c r="I1033" s="1392"/>
    </row>
    <row r="1034" spans="1:9" ht="15">
      <c r="A1034" s="1366"/>
      <c r="B1034" s="1388"/>
      <c r="C1034" s="1373"/>
      <c r="D1034" s="1389"/>
      <c r="E1034" s="1390"/>
      <c r="F1034" s="1391"/>
      <c r="G1034" s="1391"/>
      <c r="H1034" s="1392"/>
      <c r="I1034" s="1392"/>
    </row>
    <row r="1035" spans="1:9" ht="15">
      <c r="A1035" s="1366"/>
      <c r="B1035" s="1388"/>
      <c r="C1035" s="1373"/>
      <c r="D1035" s="1389"/>
      <c r="E1035" s="1390"/>
      <c r="F1035" s="1391"/>
      <c r="G1035" s="1391"/>
      <c r="H1035" s="1392"/>
      <c r="I1035" s="1392"/>
    </row>
    <row r="1036" spans="1:9" ht="15">
      <c r="A1036" s="1366"/>
      <c r="B1036" s="1388"/>
      <c r="C1036" s="1373"/>
      <c r="D1036" s="1389"/>
      <c r="E1036" s="1390"/>
      <c r="F1036" s="1391"/>
      <c r="G1036" s="1391"/>
      <c r="H1036" s="1392"/>
      <c r="I1036" s="1392"/>
    </row>
    <row r="1037" spans="1:9" ht="15">
      <c r="A1037" s="1366"/>
      <c r="B1037" s="1388"/>
      <c r="C1037" s="1373"/>
      <c r="D1037" s="1389"/>
      <c r="E1037" s="1390"/>
      <c r="F1037" s="1391"/>
      <c r="G1037" s="1391"/>
      <c r="H1037" s="1392"/>
      <c r="I1037" s="1392"/>
    </row>
    <row r="1038" spans="1:9" ht="15">
      <c r="A1038" s="1366"/>
      <c r="B1038" s="1388"/>
      <c r="C1038" s="1373"/>
      <c r="D1038" s="1389"/>
      <c r="E1038" s="1390"/>
      <c r="F1038" s="1391"/>
      <c r="G1038" s="1391"/>
      <c r="H1038" s="1392"/>
      <c r="I1038" s="1392"/>
    </row>
    <row r="1039" spans="1:9" ht="15">
      <c r="A1039" s="1366"/>
      <c r="B1039" s="1388"/>
      <c r="C1039" s="1373"/>
      <c r="D1039" s="1389"/>
      <c r="E1039" s="1390"/>
      <c r="F1039" s="1391"/>
      <c r="G1039" s="1391"/>
      <c r="H1039" s="1392"/>
      <c r="I1039" s="1392"/>
    </row>
    <row r="1040" spans="1:9" ht="15">
      <c r="A1040" s="1366"/>
      <c r="B1040" s="1388"/>
      <c r="C1040" s="1373"/>
      <c r="D1040" s="1389"/>
      <c r="E1040" s="1390"/>
      <c r="F1040" s="1391"/>
      <c r="G1040" s="1391"/>
      <c r="H1040" s="1392"/>
      <c r="I1040" s="1392"/>
    </row>
    <row r="1041" spans="1:9" ht="15">
      <c r="A1041" s="1366"/>
      <c r="B1041" s="1388"/>
      <c r="C1041" s="1373"/>
      <c r="D1041" s="1389"/>
      <c r="E1041" s="1390"/>
      <c r="F1041" s="1391"/>
      <c r="G1041" s="1391"/>
      <c r="H1041" s="1392"/>
      <c r="I1041" s="1392"/>
    </row>
    <row r="1042" spans="1:9" ht="15">
      <c r="A1042" s="1366"/>
      <c r="B1042" s="1388"/>
      <c r="C1042" s="1373"/>
      <c r="D1042" s="1389"/>
      <c r="E1042" s="1390"/>
      <c r="F1042" s="1391"/>
      <c r="G1042" s="1391"/>
      <c r="H1042" s="1392"/>
      <c r="I1042" s="1392"/>
    </row>
    <row r="1043" spans="1:9" ht="15">
      <c r="A1043" s="1366"/>
      <c r="B1043" s="1388"/>
      <c r="C1043" s="1373"/>
      <c r="D1043" s="1389"/>
      <c r="E1043" s="1390"/>
      <c r="F1043" s="1391"/>
      <c r="G1043" s="1391"/>
      <c r="H1043" s="1392"/>
      <c r="I1043" s="1392"/>
    </row>
    <row r="1044" spans="1:9" ht="15">
      <c r="A1044" s="1366"/>
      <c r="B1044" s="1388"/>
      <c r="C1044" s="1373"/>
      <c r="D1044" s="1389"/>
      <c r="E1044" s="1390"/>
      <c r="F1044" s="1391"/>
      <c r="G1044" s="1391"/>
      <c r="H1044" s="1392"/>
      <c r="I1044" s="1392"/>
    </row>
    <row r="1045" spans="1:9" ht="15">
      <c r="A1045" s="1366"/>
      <c r="B1045" s="1388"/>
      <c r="C1045" s="1373"/>
      <c r="D1045" s="1389"/>
      <c r="E1045" s="1390"/>
      <c r="F1045" s="1391"/>
      <c r="G1045" s="1391"/>
      <c r="H1045" s="1392"/>
      <c r="I1045" s="1392"/>
    </row>
    <row r="1046" spans="1:9" ht="15">
      <c r="A1046" s="1366"/>
      <c r="B1046" s="1388"/>
      <c r="C1046" s="1373"/>
      <c r="D1046" s="1389"/>
      <c r="E1046" s="1390"/>
      <c r="F1046" s="1391"/>
      <c r="G1046" s="1391"/>
      <c r="H1046" s="1392"/>
      <c r="I1046" s="1392"/>
    </row>
    <row r="1047" spans="1:9" ht="15">
      <c r="A1047" s="1366"/>
      <c r="B1047" s="1388"/>
      <c r="C1047" s="1373"/>
      <c r="D1047" s="1389"/>
      <c r="E1047" s="1390"/>
      <c r="F1047" s="1391"/>
      <c r="G1047" s="1391"/>
      <c r="H1047" s="1392"/>
      <c r="I1047" s="1392"/>
    </row>
    <row r="1048" spans="1:9" ht="15">
      <c r="A1048" s="1366"/>
      <c r="B1048" s="1388"/>
      <c r="C1048" s="1373"/>
      <c r="D1048" s="1389"/>
      <c r="E1048" s="1390"/>
      <c r="F1048" s="1391"/>
      <c r="G1048" s="1391"/>
      <c r="H1048" s="1392"/>
      <c r="I1048" s="1392"/>
    </row>
    <row r="1049" spans="1:9" ht="15">
      <c r="A1049" s="1366"/>
      <c r="B1049" s="1388"/>
      <c r="C1049" s="1373"/>
      <c r="D1049" s="1389"/>
      <c r="E1049" s="1390"/>
      <c r="F1049" s="1391"/>
      <c r="G1049" s="1391"/>
      <c r="H1049" s="1392"/>
      <c r="I1049" s="1392"/>
    </row>
    <row r="1050" spans="1:9" ht="15">
      <c r="A1050" s="1366"/>
      <c r="B1050" s="1388"/>
      <c r="C1050" s="1373"/>
      <c r="D1050" s="1389"/>
      <c r="E1050" s="1390"/>
      <c r="F1050" s="1391"/>
      <c r="G1050" s="1391"/>
      <c r="H1050" s="1392"/>
      <c r="I1050" s="1392"/>
    </row>
    <row r="1051" spans="1:9" ht="15">
      <c r="A1051" s="1366"/>
      <c r="B1051" s="1388"/>
      <c r="C1051" s="1373"/>
      <c r="D1051" s="1389"/>
      <c r="E1051" s="1390"/>
      <c r="F1051" s="1391"/>
      <c r="G1051" s="1391"/>
      <c r="H1051" s="1392"/>
      <c r="I1051" s="1392"/>
    </row>
    <row r="1052" spans="1:9" ht="15">
      <c r="A1052" s="1366"/>
      <c r="B1052" s="1388"/>
      <c r="C1052" s="1373"/>
      <c r="D1052" s="1389"/>
      <c r="E1052" s="1390"/>
      <c r="F1052" s="1391"/>
      <c r="G1052" s="1391"/>
      <c r="H1052" s="1392"/>
      <c r="I1052" s="1392"/>
    </row>
    <row r="1053" spans="1:9" ht="15">
      <c r="A1053" s="1366"/>
      <c r="B1053" s="1388"/>
      <c r="C1053" s="1373"/>
      <c r="D1053" s="1389"/>
      <c r="E1053" s="1390"/>
      <c r="F1053" s="1391"/>
      <c r="G1053" s="1391"/>
      <c r="H1053" s="1392"/>
      <c r="I1053" s="1392"/>
    </row>
    <row r="1054" spans="1:9" ht="15">
      <c r="A1054" s="1366"/>
      <c r="B1054" s="1388"/>
      <c r="C1054" s="1373"/>
      <c r="D1054" s="1389"/>
      <c r="E1054" s="1390"/>
      <c r="F1054" s="1391"/>
      <c r="G1054" s="1391"/>
      <c r="H1054" s="1392"/>
      <c r="I1054" s="1392"/>
    </row>
    <row r="1055" spans="1:9" ht="15">
      <c r="A1055" s="1366"/>
      <c r="B1055" s="1388"/>
      <c r="C1055" s="1373"/>
      <c r="D1055" s="1389"/>
      <c r="E1055" s="1390"/>
      <c r="F1055" s="1391"/>
      <c r="G1055" s="1391"/>
      <c r="H1055" s="1392"/>
      <c r="I1055" s="1392"/>
    </row>
    <row r="1056" spans="1:9" ht="15">
      <c r="A1056" s="1366"/>
      <c r="B1056" s="1388"/>
      <c r="C1056" s="1373"/>
      <c r="D1056" s="1389"/>
      <c r="E1056" s="1390"/>
      <c r="F1056" s="1391"/>
      <c r="G1056" s="1391"/>
      <c r="H1056" s="1392"/>
      <c r="I1056" s="1392"/>
    </row>
    <row r="1057" spans="1:9" ht="15">
      <c r="A1057" s="1366"/>
      <c r="B1057" s="1388"/>
      <c r="C1057" s="1373"/>
      <c r="D1057" s="1389"/>
      <c r="E1057" s="1390"/>
      <c r="F1057" s="1391"/>
      <c r="G1057" s="1391"/>
      <c r="H1057" s="1392"/>
      <c r="I1057" s="1392"/>
    </row>
    <row r="1058" spans="1:9" ht="15">
      <c r="A1058" s="1366"/>
      <c r="B1058" s="1388"/>
      <c r="C1058" s="1373"/>
      <c r="D1058" s="1389"/>
      <c r="E1058" s="1390"/>
      <c r="F1058" s="1391"/>
      <c r="G1058" s="1391"/>
      <c r="H1058" s="1392"/>
      <c r="I1058" s="1392"/>
    </row>
    <row r="1059" spans="1:9" ht="15">
      <c r="A1059" s="1366"/>
      <c r="B1059" s="1388"/>
      <c r="C1059" s="1373"/>
      <c r="D1059" s="1389"/>
      <c r="E1059" s="1390"/>
      <c r="F1059" s="1391"/>
      <c r="G1059" s="1391"/>
      <c r="H1059" s="1392"/>
      <c r="I1059" s="1392"/>
    </row>
    <row r="1060" spans="1:9" ht="15">
      <c r="A1060" s="1366"/>
      <c r="B1060" s="1388"/>
      <c r="C1060" s="1373"/>
      <c r="D1060" s="1389"/>
      <c r="E1060" s="1390"/>
      <c r="F1060" s="1391"/>
      <c r="G1060" s="1391"/>
      <c r="H1060" s="1392"/>
      <c r="I1060" s="1392"/>
    </row>
    <row r="1061" spans="1:9" ht="15">
      <c r="A1061" s="1366"/>
      <c r="B1061" s="1388"/>
      <c r="C1061" s="1373"/>
      <c r="D1061" s="1389"/>
      <c r="E1061" s="1390"/>
      <c r="F1061" s="1391"/>
      <c r="G1061" s="1391"/>
      <c r="H1061" s="1392"/>
      <c r="I1061" s="1392"/>
    </row>
    <row r="1062" spans="1:9" ht="15">
      <c r="A1062" s="1366"/>
      <c r="B1062" s="1388"/>
      <c r="C1062" s="1373"/>
      <c r="D1062" s="1389"/>
      <c r="E1062" s="1390"/>
      <c r="F1062" s="1391"/>
      <c r="G1062" s="1391"/>
      <c r="H1062" s="1392"/>
      <c r="I1062" s="1392"/>
    </row>
    <row r="1063" spans="1:9" ht="15">
      <c r="A1063" s="1366"/>
      <c r="B1063" s="1388"/>
      <c r="C1063" s="1373"/>
      <c r="D1063" s="1389"/>
      <c r="E1063" s="1390"/>
      <c r="F1063" s="1391"/>
      <c r="G1063" s="1391"/>
      <c r="H1063" s="1392"/>
      <c r="I1063" s="1392"/>
    </row>
    <row r="1064" spans="1:9" ht="15">
      <c r="A1064" s="1366"/>
      <c r="B1064" s="1388"/>
      <c r="C1064" s="1373"/>
      <c r="D1064" s="1389"/>
      <c r="E1064" s="1390"/>
      <c r="F1064" s="1391"/>
      <c r="G1064" s="1391"/>
      <c r="H1064" s="1392"/>
      <c r="I1064" s="1392"/>
    </row>
    <row r="1065" spans="1:9" ht="15">
      <c r="A1065" s="1366"/>
      <c r="B1065" s="1388"/>
      <c r="C1065" s="1373"/>
      <c r="D1065" s="1389"/>
      <c r="E1065" s="1390"/>
      <c r="F1065" s="1391"/>
      <c r="G1065" s="1391"/>
      <c r="H1065" s="1392"/>
      <c r="I1065" s="1392"/>
    </row>
    <row r="1066" spans="1:9" ht="15">
      <c r="A1066" s="1366"/>
      <c r="B1066" s="1388"/>
      <c r="C1066" s="1373"/>
      <c r="D1066" s="1389"/>
      <c r="E1066" s="1390"/>
      <c r="F1066" s="1391"/>
      <c r="G1066" s="1391"/>
      <c r="H1066" s="1392"/>
      <c r="I1066" s="1392"/>
    </row>
    <row r="1067" spans="1:9" ht="15">
      <c r="A1067" s="1366"/>
      <c r="B1067" s="1388"/>
      <c r="C1067" s="1373"/>
      <c r="D1067" s="1389"/>
      <c r="E1067" s="1390"/>
      <c r="F1067" s="1391"/>
      <c r="G1067" s="1391"/>
      <c r="H1067" s="1392"/>
      <c r="I1067" s="1392"/>
    </row>
    <row r="1068" spans="1:9" ht="15">
      <c r="A1068" s="1366"/>
      <c r="B1068" s="1388"/>
      <c r="C1068" s="1373"/>
      <c r="D1068" s="1389"/>
      <c r="E1068" s="1390"/>
      <c r="F1068" s="1391"/>
      <c r="G1068" s="1391"/>
      <c r="H1068" s="1392"/>
      <c r="I1068" s="1392"/>
    </row>
    <row r="1069" spans="1:9" ht="15">
      <c r="A1069" s="1366"/>
      <c r="B1069" s="1388"/>
      <c r="C1069" s="1373"/>
      <c r="D1069" s="1389"/>
      <c r="E1069" s="1390"/>
      <c r="F1069" s="1391"/>
      <c r="G1069" s="1391"/>
      <c r="H1069" s="1392"/>
      <c r="I1069" s="1392"/>
    </row>
    <row r="1070" spans="1:9" ht="15">
      <c r="A1070" s="1366"/>
      <c r="B1070" s="1388"/>
      <c r="C1070" s="1373"/>
      <c r="D1070" s="1389"/>
      <c r="E1070" s="1390"/>
      <c r="F1070" s="1391"/>
      <c r="G1070" s="1391"/>
      <c r="H1070" s="1392"/>
      <c r="I1070" s="1392"/>
    </row>
    <row r="1071" spans="1:9" ht="15">
      <c r="A1071" s="1366"/>
      <c r="B1071" s="1388"/>
      <c r="C1071" s="1373"/>
      <c r="D1071" s="1389"/>
      <c r="E1071" s="1390"/>
      <c r="F1071" s="1391"/>
      <c r="G1071" s="1391"/>
      <c r="H1071" s="1392"/>
      <c r="I1071" s="1392"/>
    </row>
    <row r="1072" spans="1:9" ht="15">
      <c r="A1072" s="1366"/>
      <c r="B1072" s="1388"/>
      <c r="C1072" s="1373"/>
      <c r="D1072" s="1389"/>
      <c r="E1072" s="1390"/>
      <c r="F1072" s="1391"/>
      <c r="G1072" s="1391"/>
      <c r="H1072" s="1392"/>
      <c r="I1072" s="1392"/>
    </row>
    <row r="1073" spans="1:9" ht="15">
      <c r="A1073" s="1366"/>
      <c r="B1073" s="1388"/>
      <c r="C1073" s="1373"/>
      <c r="D1073" s="1389"/>
      <c r="E1073" s="1390"/>
      <c r="F1073" s="1391"/>
      <c r="G1073" s="1391"/>
      <c r="H1073" s="1392"/>
      <c r="I1073" s="1392"/>
    </row>
    <row r="1074" spans="1:9" ht="15">
      <c r="A1074" s="1366"/>
      <c r="B1074" s="1388"/>
      <c r="C1074" s="1373"/>
      <c r="D1074" s="1389"/>
      <c r="E1074" s="1390"/>
      <c r="F1074" s="1391"/>
      <c r="G1074" s="1391"/>
      <c r="H1074" s="1392"/>
      <c r="I1074" s="1392"/>
    </row>
    <row r="1075" spans="1:9" ht="15">
      <c r="A1075" s="1366"/>
      <c r="B1075" s="1388"/>
      <c r="C1075" s="1373"/>
      <c r="D1075" s="1389"/>
      <c r="E1075" s="1390"/>
      <c r="F1075" s="1391"/>
      <c r="G1075" s="1391"/>
      <c r="H1075" s="1392"/>
      <c r="I1075" s="1392"/>
    </row>
    <row r="1076" spans="1:9" ht="15">
      <c r="A1076" s="1366"/>
      <c r="B1076" s="1388"/>
      <c r="C1076" s="1373"/>
      <c r="D1076" s="1389"/>
      <c r="E1076" s="1390"/>
      <c r="F1076" s="1391"/>
      <c r="G1076" s="1391"/>
      <c r="H1076" s="1392"/>
      <c r="I1076" s="1392"/>
    </row>
    <row r="1077" spans="1:9" ht="15">
      <c r="A1077" s="1366"/>
      <c r="B1077" s="1388"/>
      <c r="C1077" s="1373"/>
      <c r="D1077" s="1389"/>
      <c r="E1077" s="1390"/>
      <c r="F1077" s="1391"/>
      <c r="G1077" s="1391"/>
      <c r="H1077" s="1392"/>
      <c r="I1077" s="1392"/>
    </row>
    <row r="1078" spans="1:9" ht="15">
      <c r="A1078" s="1366"/>
      <c r="B1078" s="1388"/>
      <c r="C1078" s="1373"/>
      <c r="D1078" s="1389"/>
      <c r="E1078" s="1390"/>
      <c r="F1078" s="1391"/>
      <c r="G1078" s="1391"/>
      <c r="H1078" s="1392"/>
      <c r="I1078" s="1392"/>
    </row>
    <row r="1079" spans="1:9" ht="15">
      <c r="A1079" s="1366"/>
      <c r="B1079" s="1388"/>
      <c r="C1079" s="1373"/>
      <c r="D1079" s="1389"/>
      <c r="E1079" s="1390"/>
      <c r="F1079" s="1391"/>
      <c r="G1079" s="1391"/>
      <c r="H1079" s="1392"/>
      <c r="I1079" s="1392"/>
    </row>
    <row r="1080" spans="1:9" ht="15">
      <c r="A1080" s="1366"/>
      <c r="B1080" s="1388"/>
      <c r="C1080" s="1373"/>
      <c r="D1080" s="1389"/>
      <c r="E1080" s="1390"/>
      <c r="F1080" s="1391"/>
      <c r="G1080" s="1391"/>
      <c r="H1080" s="1392"/>
      <c r="I1080" s="1392"/>
    </row>
    <row r="1081" spans="1:9" ht="15">
      <c r="A1081" s="1366"/>
      <c r="B1081" s="1388"/>
      <c r="C1081" s="1373"/>
      <c r="D1081" s="1389"/>
      <c r="E1081" s="1390"/>
      <c r="F1081" s="1391"/>
      <c r="G1081" s="1391"/>
      <c r="H1081" s="1392"/>
      <c r="I1081" s="1392"/>
    </row>
    <row r="1082" spans="1:9" ht="15">
      <c r="A1082" s="1366"/>
      <c r="B1082" s="1388"/>
      <c r="C1082" s="1373"/>
      <c r="D1082" s="1389"/>
      <c r="E1082" s="1390"/>
      <c r="F1082" s="1391"/>
      <c r="G1082" s="1391"/>
      <c r="H1082" s="1392"/>
      <c r="I1082" s="1392"/>
    </row>
    <row r="1083" spans="1:9" ht="15">
      <c r="A1083" s="1366"/>
      <c r="B1083" s="1388"/>
      <c r="C1083" s="1373"/>
      <c r="D1083" s="1389"/>
      <c r="E1083" s="1390"/>
      <c r="F1083" s="1391"/>
      <c r="G1083" s="1391"/>
      <c r="H1083" s="1392"/>
      <c r="I1083" s="1392"/>
    </row>
    <row r="1084" spans="1:9" ht="15">
      <c r="A1084" s="1366"/>
      <c r="B1084" s="1388"/>
      <c r="C1084" s="1373"/>
      <c r="D1084" s="1389"/>
      <c r="E1084" s="1390"/>
      <c r="F1084" s="1391"/>
      <c r="G1084" s="1391"/>
      <c r="H1084" s="1392"/>
      <c r="I1084" s="1392"/>
    </row>
    <row r="1085" spans="1:9" ht="15">
      <c r="A1085" s="1366"/>
      <c r="B1085" s="1388"/>
      <c r="C1085" s="1373"/>
      <c r="D1085" s="1389"/>
      <c r="E1085" s="1390"/>
      <c r="F1085" s="1391"/>
      <c r="G1085" s="1391"/>
      <c r="H1085" s="1392"/>
      <c r="I1085" s="1392"/>
    </row>
    <row r="1086" spans="1:9" ht="15">
      <c r="A1086" s="1366"/>
      <c r="B1086" s="1388"/>
      <c r="C1086" s="1373"/>
      <c r="D1086" s="1389"/>
      <c r="E1086" s="1390"/>
      <c r="F1086" s="1391"/>
      <c r="G1086" s="1391"/>
      <c r="H1086" s="1392"/>
      <c r="I1086" s="1392"/>
    </row>
    <row r="1087" spans="1:9" ht="15">
      <c r="A1087" s="1366"/>
      <c r="B1087" s="1388"/>
      <c r="C1087" s="1373"/>
      <c r="D1087" s="1389"/>
      <c r="E1087" s="1390"/>
      <c r="F1087" s="1391"/>
      <c r="G1087" s="1391"/>
      <c r="H1087" s="1392"/>
      <c r="I1087" s="1392"/>
    </row>
    <row r="1088" spans="1:9" ht="15">
      <c r="A1088" s="1366"/>
      <c r="B1088" s="1388"/>
      <c r="C1088" s="1373"/>
      <c r="D1088" s="1389"/>
      <c r="E1088" s="1390"/>
      <c r="F1088" s="1391"/>
      <c r="G1088" s="1391"/>
      <c r="H1088" s="1392"/>
      <c r="I1088" s="1392"/>
    </row>
    <row r="1089" spans="1:9" ht="15">
      <c r="A1089" s="1366"/>
      <c r="B1089" s="1388"/>
      <c r="C1089" s="1373"/>
      <c r="D1089" s="1389"/>
      <c r="E1089" s="1390"/>
      <c r="F1089" s="1391"/>
      <c r="G1089" s="1391"/>
      <c r="H1089" s="1392"/>
      <c r="I1089" s="1392"/>
    </row>
    <row r="1090" spans="1:9" ht="15">
      <c r="A1090" s="1366"/>
      <c r="B1090" s="1388"/>
      <c r="C1090" s="1373"/>
      <c r="D1090" s="1389"/>
      <c r="E1090" s="1390"/>
      <c r="F1090" s="1391"/>
      <c r="G1090" s="1391"/>
      <c r="H1090" s="1392"/>
      <c r="I1090" s="1392"/>
    </row>
    <row r="1091" spans="1:9" ht="15">
      <c r="A1091" s="1366"/>
      <c r="B1091" s="1388"/>
      <c r="C1091" s="1373"/>
      <c r="D1091" s="1389"/>
      <c r="E1091" s="1390"/>
      <c r="F1091" s="1391"/>
      <c r="G1091" s="1391"/>
      <c r="H1091" s="1392"/>
      <c r="I1091" s="1392"/>
    </row>
    <row r="1092" spans="1:9" ht="15">
      <c r="A1092" s="1366"/>
      <c r="B1092" s="1388"/>
      <c r="C1092" s="1373"/>
      <c r="D1092" s="1389"/>
      <c r="E1092" s="1390"/>
      <c r="F1092" s="1391"/>
      <c r="G1092" s="1391"/>
      <c r="H1092" s="1392"/>
      <c r="I1092" s="1392"/>
    </row>
    <row r="1093" spans="1:9" ht="15">
      <c r="A1093" s="1366"/>
      <c r="B1093" s="1388"/>
      <c r="C1093" s="1373"/>
      <c r="D1093" s="1389"/>
      <c r="E1093" s="1390"/>
      <c r="F1093" s="1391"/>
      <c r="G1093" s="1391"/>
      <c r="H1093" s="1392"/>
      <c r="I1093" s="1392"/>
    </row>
    <row r="1094" spans="1:9" ht="15">
      <c r="A1094" s="1366"/>
      <c r="B1094" s="1388"/>
      <c r="C1094" s="1373"/>
      <c r="D1094" s="1389"/>
      <c r="E1094" s="1390"/>
      <c r="F1094" s="1391"/>
      <c r="G1094" s="1391"/>
      <c r="H1094" s="1392"/>
      <c r="I1094" s="1392"/>
    </row>
    <row r="1095" spans="1:9" ht="15">
      <c r="A1095" s="1366"/>
      <c r="B1095" s="1388"/>
      <c r="C1095" s="1373"/>
      <c r="D1095" s="1389"/>
      <c r="E1095" s="1390"/>
      <c r="F1095" s="1391"/>
      <c r="G1095" s="1391"/>
      <c r="H1095" s="1392"/>
      <c r="I1095" s="1392"/>
    </row>
    <row r="1096" spans="1:9" ht="15">
      <c r="A1096" s="1366"/>
      <c r="B1096" s="1388"/>
      <c r="C1096" s="1373"/>
      <c r="D1096" s="1389"/>
      <c r="E1096" s="1390"/>
      <c r="F1096" s="1391"/>
      <c r="G1096" s="1391"/>
      <c r="H1096" s="1392"/>
      <c r="I1096" s="1392"/>
    </row>
    <row r="1097" spans="1:9" ht="15">
      <c r="A1097" s="1366"/>
      <c r="B1097" s="1388"/>
      <c r="C1097" s="1373"/>
      <c r="D1097" s="1389"/>
      <c r="E1097" s="1390"/>
      <c r="F1097" s="1391"/>
      <c r="G1097" s="1391"/>
      <c r="H1097" s="1392"/>
      <c r="I1097" s="1392"/>
    </row>
    <row r="1098" spans="1:9" ht="15">
      <c r="A1098" s="1366"/>
      <c r="B1098" s="1388"/>
      <c r="C1098" s="1373"/>
      <c r="D1098" s="1389"/>
      <c r="E1098" s="1390"/>
      <c r="F1098" s="1391"/>
      <c r="G1098" s="1391"/>
      <c r="H1098" s="1392"/>
      <c r="I1098" s="1392"/>
    </row>
    <row r="1099" spans="1:9" ht="15">
      <c r="A1099" s="1366"/>
      <c r="B1099" s="1388"/>
      <c r="C1099" s="1373"/>
      <c r="D1099" s="1389"/>
      <c r="E1099" s="1390"/>
      <c r="F1099" s="1391"/>
      <c r="G1099" s="1391"/>
      <c r="H1099" s="1392"/>
      <c r="I1099" s="1392"/>
    </row>
    <row r="1100" spans="1:9" ht="15">
      <c r="A1100" s="1366"/>
      <c r="B1100" s="1388"/>
      <c r="C1100" s="1373"/>
      <c r="D1100" s="1389"/>
      <c r="E1100" s="1390"/>
      <c r="F1100" s="1391"/>
      <c r="G1100" s="1391"/>
      <c r="H1100" s="1392"/>
      <c r="I1100" s="1392"/>
    </row>
    <row r="1101" spans="1:9" ht="15">
      <c r="A1101" s="1366"/>
      <c r="B1101" s="1388"/>
      <c r="C1101" s="1373"/>
      <c r="D1101" s="1389"/>
      <c r="E1101" s="1390"/>
      <c r="F1101" s="1391"/>
      <c r="G1101" s="1391"/>
      <c r="H1101" s="1392"/>
      <c r="I1101" s="1392"/>
    </row>
    <row r="1102" spans="1:9" ht="15">
      <c r="A1102" s="1366"/>
      <c r="B1102" s="1388"/>
      <c r="C1102" s="1373"/>
      <c r="D1102" s="1389"/>
      <c r="E1102" s="1390"/>
      <c r="F1102" s="1391"/>
      <c r="G1102" s="1391"/>
      <c r="H1102" s="1392"/>
      <c r="I1102" s="1392"/>
    </row>
    <row r="1103" spans="1:9" ht="15">
      <c r="A1103" s="1366"/>
      <c r="B1103" s="1388"/>
      <c r="C1103" s="1373"/>
      <c r="D1103" s="1389"/>
      <c r="E1103" s="1390"/>
      <c r="F1103" s="1391"/>
      <c r="G1103" s="1391"/>
      <c r="H1103" s="1392"/>
      <c r="I1103" s="1392"/>
    </row>
    <row r="1104" spans="1:9" ht="15">
      <c r="A1104" s="1366"/>
      <c r="B1104" s="1388"/>
      <c r="C1104" s="1373"/>
      <c r="D1104" s="1389"/>
      <c r="E1104" s="1390"/>
      <c r="F1104" s="1391"/>
      <c r="G1104" s="1391"/>
      <c r="H1104" s="1392"/>
      <c r="I1104" s="1392"/>
    </row>
    <row r="1105" spans="1:9" ht="15">
      <c r="A1105" s="1366"/>
      <c r="B1105" s="1388"/>
      <c r="C1105" s="1373"/>
      <c r="D1105" s="1389"/>
      <c r="E1105" s="1390"/>
      <c r="F1105" s="1391"/>
      <c r="G1105" s="1391"/>
      <c r="H1105" s="1392"/>
      <c r="I1105" s="1392"/>
    </row>
    <row r="1106" spans="1:9" ht="15">
      <c r="A1106" s="1366"/>
      <c r="B1106" s="1388"/>
      <c r="C1106" s="1373"/>
      <c r="D1106" s="1389"/>
      <c r="E1106" s="1390"/>
      <c r="F1106" s="1391"/>
      <c r="G1106" s="1391"/>
      <c r="H1106" s="1392"/>
      <c r="I1106" s="1392"/>
    </row>
    <row r="1107" spans="1:9" ht="15">
      <c r="A1107" s="1366"/>
      <c r="B1107" s="1388"/>
      <c r="C1107" s="1373"/>
      <c r="D1107" s="1389"/>
      <c r="E1107" s="1390"/>
      <c r="F1107" s="1391"/>
      <c r="G1107" s="1391"/>
      <c r="H1107" s="1392"/>
      <c r="I1107" s="1392"/>
    </row>
    <row r="1108" spans="1:9" ht="15">
      <c r="A1108" s="1366"/>
      <c r="B1108" s="1388"/>
      <c r="C1108" s="1373"/>
      <c r="D1108" s="1389"/>
      <c r="E1108" s="1390"/>
      <c r="F1108" s="1391"/>
      <c r="G1108" s="1391"/>
      <c r="H1108" s="1392"/>
      <c r="I1108" s="1392"/>
    </row>
    <row r="1109" spans="1:9" ht="15">
      <c r="A1109" s="1366"/>
      <c r="B1109" s="1388"/>
      <c r="C1109" s="1373"/>
      <c r="D1109" s="1389"/>
      <c r="E1109" s="1390"/>
      <c r="F1109" s="1391"/>
      <c r="G1109" s="1391"/>
      <c r="H1109" s="1392"/>
      <c r="I1109" s="1392"/>
    </row>
    <row r="1110" spans="1:9" ht="15">
      <c r="A1110" s="1366"/>
      <c r="B1110" s="1388"/>
      <c r="C1110" s="1373"/>
      <c r="D1110" s="1389"/>
      <c r="E1110" s="1390"/>
      <c r="F1110" s="1391"/>
      <c r="G1110" s="1391"/>
      <c r="H1110" s="1392"/>
      <c r="I1110" s="1392"/>
    </row>
    <row r="1111" spans="1:9" ht="15">
      <c r="A1111" s="1366"/>
      <c r="B1111" s="1388"/>
      <c r="C1111" s="1373"/>
      <c r="D1111" s="1389"/>
      <c r="E1111" s="1390"/>
      <c r="F1111" s="1391"/>
      <c r="G1111" s="1391"/>
      <c r="H1111" s="1392"/>
      <c r="I1111" s="1392"/>
    </row>
    <row r="1112" spans="1:9" ht="15">
      <c r="A1112" s="1366"/>
      <c r="B1112" s="1388"/>
      <c r="C1112" s="1373"/>
      <c r="D1112" s="1389"/>
      <c r="E1112" s="1390"/>
      <c r="F1112" s="1391"/>
      <c r="G1112" s="1391"/>
      <c r="H1112" s="1392"/>
      <c r="I1112" s="1392"/>
    </row>
    <row r="1113" spans="1:9" ht="15">
      <c r="A1113" s="1366"/>
      <c r="B1113" s="1388"/>
      <c r="C1113" s="1373"/>
      <c r="D1113" s="1389"/>
      <c r="E1113" s="1390"/>
      <c r="F1113" s="1391"/>
      <c r="G1113" s="1391"/>
      <c r="H1113" s="1392"/>
      <c r="I1113" s="1392"/>
    </row>
    <row r="1114" spans="1:9" ht="15">
      <c r="A1114" s="1366"/>
      <c r="B1114" s="1388"/>
      <c r="C1114" s="1373"/>
      <c r="D1114" s="1389"/>
      <c r="E1114" s="1390"/>
      <c r="F1114" s="1391"/>
      <c r="G1114" s="1391"/>
      <c r="H1114" s="1392"/>
      <c r="I1114" s="1392"/>
    </row>
    <row r="1115" spans="1:9" ht="15">
      <c r="A1115" s="1366"/>
      <c r="B1115" s="1388"/>
      <c r="C1115" s="1373"/>
      <c r="D1115" s="1389"/>
      <c r="E1115" s="1390"/>
      <c r="F1115" s="1391"/>
      <c r="G1115" s="1391"/>
      <c r="H1115" s="1392"/>
      <c r="I1115" s="1392"/>
    </row>
    <row r="1116" spans="1:9" ht="15">
      <c r="A1116" s="1366"/>
      <c r="B1116" s="1388"/>
      <c r="C1116" s="1373"/>
      <c r="D1116" s="1389"/>
      <c r="E1116" s="1390"/>
      <c r="F1116" s="1391"/>
      <c r="G1116" s="1391"/>
      <c r="H1116" s="1392"/>
      <c r="I1116" s="1392"/>
    </row>
    <row r="1117" spans="1:9" ht="15">
      <c r="A1117" s="1366"/>
      <c r="B1117" s="1388"/>
      <c r="C1117" s="1373"/>
      <c r="D1117" s="1389"/>
      <c r="E1117" s="1390"/>
      <c r="F1117" s="1391"/>
      <c r="G1117" s="1391"/>
      <c r="H1117" s="1392"/>
      <c r="I1117" s="1392"/>
    </row>
    <row r="1118" spans="1:9" ht="15">
      <c r="A1118" s="1366"/>
      <c r="B1118" s="1388"/>
      <c r="C1118" s="1373"/>
      <c r="D1118" s="1389"/>
      <c r="E1118" s="1390"/>
      <c r="F1118" s="1391"/>
      <c r="G1118" s="1391"/>
      <c r="H1118" s="1392"/>
      <c r="I1118" s="1392"/>
    </row>
    <row r="1119" spans="1:9" ht="15">
      <c r="A1119" s="1366"/>
      <c r="B1119" s="1388"/>
      <c r="C1119" s="1373"/>
      <c r="D1119" s="1389"/>
      <c r="E1119" s="1390"/>
      <c r="F1119" s="1391"/>
      <c r="G1119" s="1391"/>
      <c r="H1119" s="1392"/>
      <c r="I1119" s="1392"/>
    </row>
    <row r="1120" spans="1:9" ht="15">
      <c r="A1120" s="1366"/>
      <c r="B1120" s="1388"/>
      <c r="C1120" s="1373"/>
      <c r="D1120" s="1389"/>
      <c r="E1120" s="1390"/>
      <c r="F1120" s="1391"/>
      <c r="G1120" s="1391"/>
      <c r="H1120" s="1392"/>
      <c r="I1120" s="1392"/>
    </row>
    <row r="1121" spans="1:9" ht="15">
      <c r="A1121" s="1366"/>
      <c r="B1121" s="1388"/>
      <c r="C1121" s="1373"/>
      <c r="D1121" s="1389"/>
      <c r="E1121" s="1390"/>
      <c r="F1121" s="1391"/>
      <c r="G1121" s="1391"/>
      <c r="H1121" s="1392"/>
      <c r="I1121" s="1392"/>
    </row>
    <row r="1122" spans="1:9" ht="15">
      <c r="A1122" s="1366"/>
      <c r="B1122" s="1388"/>
      <c r="C1122" s="1373"/>
      <c r="D1122" s="1389"/>
      <c r="E1122" s="1390"/>
      <c r="F1122" s="1391"/>
      <c r="G1122" s="1391"/>
      <c r="H1122" s="1392"/>
      <c r="I1122" s="1392"/>
    </row>
    <row r="1123" spans="1:9" ht="15">
      <c r="A1123" s="1366"/>
      <c r="B1123" s="1388"/>
      <c r="C1123" s="1373"/>
      <c r="D1123" s="1389"/>
      <c r="E1123" s="1390"/>
      <c r="F1123" s="1391"/>
      <c r="G1123" s="1391"/>
      <c r="H1123" s="1392"/>
      <c r="I1123" s="1392"/>
    </row>
    <row r="1124" spans="1:9" ht="15">
      <c r="A1124" s="1366"/>
      <c r="B1124" s="1388"/>
      <c r="C1124" s="1373"/>
      <c r="D1124" s="1389"/>
      <c r="E1124" s="1390"/>
      <c r="F1124" s="1391"/>
      <c r="G1124" s="1391"/>
      <c r="H1124" s="1392"/>
      <c r="I1124" s="1392"/>
    </row>
    <row r="1125" spans="1:9" ht="15">
      <c r="A1125" s="1366"/>
      <c r="B1125" s="1388"/>
      <c r="C1125" s="1373"/>
      <c r="D1125" s="1389"/>
      <c r="E1125" s="1390"/>
      <c r="F1125" s="1391"/>
      <c r="G1125" s="1391"/>
      <c r="H1125" s="1392"/>
      <c r="I1125" s="1392"/>
    </row>
    <row r="1126" spans="1:9" ht="15">
      <c r="A1126" s="1366"/>
      <c r="B1126" s="1388"/>
      <c r="C1126" s="1373"/>
      <c r="D1126" s="1389"/>
      <c r="E1126" s="1390"/>
      <c r="F1126" s="1391"/>
      <c r="G1126" s="1391"/>
      <c r="H1126" s="1392"/>
      <c r="I1126" s="1392"/>
    </row>
    <row r="1127" spans="1:9" ht="15">
      <c r="A1127" s="1366"/>
      <c r="B1127" s="1388"/>
      <c r="C1127" s="1373"/>
      <c r="D1127" s="1389"/>
      <c r="E1127" s="1390"/>
      <c r="F1127" s="1391"/>
      <c r="G1127" s="1391"/>
      <c r="H1127" s="1392"/>
      <c r="I1127" s="1392"/>
    </row>
    <row r="1128" spans="1:9" ht="15">
      <c r="A1128" s="1366"/>
      <c r="B1128" s="1388"/>
      <c r="C1128" s="1373"/>
      <c r="D1128" s="1389"/>
      <c r="E1128" s="1390"/>
      <c r="F1128" s="1391"/>
      <c r="G1128" s="1391"/>
      <c r="H1128" s="1392"/>
      <c r="I1128" s="1392"/>
    </row>
    <row r="1129" spans="1:9" ht="15">
      <c r="A1129" s="1366"/>
      <c r="B1129" s="1388"/>
      <c r="C1129" s="1373"/>
      <c r="D1129" s="1389"/>
      <c r="E1129" s="1390"/>
      <c r="F1129" s="1391"/>
      <c r="G1129" s="1391"/>
      <c r="H1129" s="1392"/>
      <c r="I1129" s="1392"/>
    </row>
    <row r="1130" spans="1:9" ht="15">
      <c r="A1130" s="1366"/>
      <c r="B1130" s="1388"/>
      <c r="C1130" s="1373"/>
      <c r="D1130" s="1389"/>
      <c r="E1130" s="1390"/>
      <c r="F1130" s="1391"/>
      <c r="G1130" s="1391"/>
      <c r="H1130" s="1392"/>
      <c r="I1130" s="1392"/>
    </row>
    <row r="1131" spans="1:9" ht="15">
      <c r="A1131" s="1366"/>
      <c r="B1131" s="1388"/>
      <c r="C1131" s="1373"/>
      <c r="D1131" s="1389"/>
      <c r="E1131" s="1390"/>
      <c r="F1131" s="1391"/>
      <c r="G1131" s="1391"/>
      <c r="H1131" s="1392"/>
      <c r="I1131" s="1392"/>
    </row>
    <row r="1132" spans="1:9" ht="15">
      <c r="A1132" s="1366"/>
      <c r="B1132" s="1388"/>
      <c r="C1132" s="1373"/>
      <c r="D1132" s="1389"/>
      <c r="E1132" s="1390"/>
      <c r="F1132" s="1391"/>
      <c r="G1132" s="1391"/>
      <c r="H1132" s="1392"/>
      <c r="I1132" s="1392"/>
    </row>
    <row r="1133" spans="1:9" ht="15">
      <c r="A1133" s="1366"/>
      <c r="B1133" s="1388"/>
      <c r="C1133" s="1373"/>
      <c r="D1133" s="1389"/>
      <c r="E1133" s="1390"/>
      <c r="F1133" s="1391"/>
      <c r="G1133" s="1391"/>
      <c r="H1133" s="1392"/>
      <c r="I1133" s="1392"/>
    </row>
    <row r="1134" spans="1:9" ht="15">
      <c r="A1134" s="1366"/>
      <c r="B1134" s="1388"/>
      <c r="C1134" s="1373"/>
      <c r="D1134" s="1389"/>
      <c r="E1134" s="1390"/>
      <c r="F1134" s="1391"/>
      <c r="G1134" s="1391"/>
      <c r="H1134" s="1392"/>
      <c r="I1134" s="1392"/>
    </row>
    <row r="1135" spans="1:9" ht="15">
      <c r="A1135" s="1366"/>
      <c r="B1135" s="1388"/>
      <c r="C1135" s="1373"/>
      <c r="D1135" s="1389"/>
      <c r="E1135" s="1390"/>
      <c r="F1135" s="1391"/>
      <c r="G1135" s="1391"/>
      <c r="H1135" s="1392"/>
      <c r="I1135" s="1392"/>
    </row>
    <row r="1136" spans="1:9" ht="15">
      <c r="A1136" s="1366"/>
      <c r="B1136" s="1388"/>
      <c r="C1136" s="1373"/>
      <c r="D1136" s="1389"/>
      <c r="E1136" s="1390"/>
      <c r="F1136" s="1391"/>
      <c r="G1136" s="1391"/>
      <c r="H1136" s="1392"/>
      <c r="I1136" s="1392"/>
    </row>
    <row r="1137" spans="1:9" ht="15">
      <c r="A1137" s="1366"/>
      <c r="B1137" s="1388"/>
      <c r="C1137" s="1373"/>
      <c r="D1137" s="1389"/>
      <c r="E1137" s="1390"/>
      <c r="F1137" s="1391"/>
      <c r="G1137" s="1391"/>
      <c r="H1137" s="1392"/>
      <c r="I1137" s="1392"/>
    </row>
    <row r="1138" spans="1:9" ht="15">
      <c r="A1138" s="1366"/>
      <c r="B1138" s="1388"/>
      <c r="C1138" s="1373"/>
      <c r="D1138" s="1389"/>
      <c r="E1138" s="1390"/>
      <c r="F1138" s="1391"/>
      <c r="G1138" s="1391"/>
      <c r="H1138" s="1392"/>
      <c r="I1138" s="1392"/>
    </row>
    <row r="1139" spans="1:9" ht="15">
      <c r="A1139" s="1366"/>
      <c r="B1139" s="1388"/>
      <c r="C1139" s="1373"/>
      <c r="D1139" s="1389"/>
      <c r="E1139" s="1390"/>
      <c r="F1139" s="1391"/>
      <c r="G1139" s="1391"/>
      <c r="H1139" s="1392"/>
      <c r="I1139" s="1392"/>
    </row>
    <row r="1140" spans="1:9" ht="15">
      <c r="A1140" s="1366"/>
      <c r="B1140" s="1388"/>
      <c r="C1140" s="1373"/>
      <c r="D1140" s="1389"/>
      <c r="E1140" s="1390"/>
      <c r="F1140" s="1391"/>
      <c r="G1140" s="1391"/>
      <c r="H1140" s="1392"/>
      <c r="I1140" s="1392"/>
    </row>
    <row r="1141" spans="1:9" ht="15">
      <c r="A1141" s="1366"/>
      <c r="B1141" s="1388"/>
      <c r="C1141" s="1373"/>
      <c r="D1141" s="1389"/>
      <c r="E1141" s="1390"/>
      <c r="F1141" s="1391"/>
      <c r="G1141" s="1391"/>
      <c r="H1141" s="1392"/>
      <c r="I1141" s="1392"/>
    </row>
    <row r="1142" spans="1:9" ht="15">
      <c r="A1142" s="1366"/>
      <c r="B1142" s="1388"/>
      <c r="C1142" s="1373"/>
      <c r="D1142" s="1389"/>
      <c r="E1142" s="1390"/>
      <c r="F1142" s="1391"/>
      <c r="G1142" s="1391"/>
      <c r="H1142" s="1392"/>
      <c r="I1142" s="1392"/>
    </row>
    <row r="1143" spans="1:9" ht="15">
      <c r="A1143" s="1366"/>
      <c r="B1143" s="1388"/>
      <c r="C1143" s="1373"/>
      <c r="D1143" s="1389"/>
      <c r="E1143" s="1390"/>
      <c r="F1143" s="1391"/>
      <c r="G1143" s="1391"/>
      <c r="H1143" s="1392"/>
      <c r="I1143" s="1392"/>
    </row>
    <row r="1144" spans="1:9" ht="15">
      <c r="A1144" s="1366"/>
      <c r="B1144" s="1388"/>
      <c r="C1144" s="1373"/>
      <c r="D1144" s="1389"/>
      <c r="E1144" s="1390"/>
      <c r="F1144" s="1391"/>
      <c r="G1144" s="1391"/>
      <c r="H1144" s="1392"/>
      <c r="I1144" s="1392"/>
    </row>
    <row r="1145" spans="1:9" ht="15">
      <c r="A1145" s="1366"/>
      <c r="B1145" s="1388"/>
      <c r="C1145" s="1373"/>
      <c r="D1145" s="1389"/>
      <c r="E1145" s="1390"/>
      <c r="F1145" s="1391"/>
      <c r="G1145" s="1391"/>
      <c r="H1145" s="1392"/>
      <c r="I1145" s="1392"/>
    </row>
    <row r="1146" spans="1:9" ht="15">
      <c r="A1146" s="1366"/>
      <c r="B1146" s="1388"/>
      <c r="C1146" s="1373"/>
      <c r="D1146" s="1389"/>
      <c r="E1146" s="1390"/>
      <c r="F1146" s="1391"/>
      <c r="G1146" s="1391"/>
      <c r="H1146" s="1392"/>
      <c r="I1146" s="1392"/>
    </row>
    <row r="1147" spans="1:9" ht="15">
      <c r="A1147" s="1366"/>
      <c r="B1147" s="1388"/>
      <c r="C1147" s="1373"/>
      <c r="D1147" s="1389"/>
      <c r="E1147" s="1390"/>
      <c r="F1147" s="1391"/>
      <c r="G1147" s="1391"/>
      <c r="H1147" s="1392"/>
      <c r="I1147" s="1392"/>
    </row>
    <row r="1148" spans="1:9" ht="15">
      <c r="A1148" s="1366"/>
      <c r="B1148" s="1388"/>
      <c r="C1148" s="1373"/>
      <c r="D1148" s="1389"/>
      <c r="E1148" s="1390"/>
      <c r="F1148" s="1391"/>
      <c r="G1148" s="1391"/>
      <c r="H1148" s="1392"/>
      <c r="I1148" s="1392"/>
    </row>
    <row r="1149" spans="1:9" ht="15">
      <c r="A1149" s="1366"/>
      <c r="B1149" s="1388"/>
      <c r="C1149" s="1373"/>
      <c r="D1149" s="1389"/>
      <c r="E1149" s="1390"/>
      <c r="F1149" s="1391"/>
      <c r="G1149" s="1391"/>
      <c r="H1149" s="1392"/>
      <c r="I1149" s="1392"/>
    </row>
    <row r="1150" spans="1:9" ht="15">
      <c r="A1150" s="1366"/>
      <c r="B1150" s="1388"/>
      <c r="C1150" s="1373"/>
      <c r="D1150" s="1389"/>
      <c r="E1150" s="1390"/>
      <c r="F1150" s="1391"/>
      <c r="G1150" s="1391"/>
      <c r="H1150" s="1392"/>
      <c r="I1150" s="1392"/>
    </row>
    <row r="1151" spans="1:9" ht="15">
      <c r="A1151" s="1366"/>
      <c r="B1151" s="1388"/>
      <c r="C1151" s="1373"/>
      <c r="D1151" s="1389"/>
      <c r="E1151" s="1390"/>
      <c r="F1151" s="1391"/>
      <c r="G1151" s="1391"/>
      <c r="H1151" s="1392"/>
      <c r="I1151" s="1392"/>
    </row>
    <row r="1152" spans="1:9" ht="15">
      <c r="A1152" s="1366"/>
      <c r="B1152" s="1388"/>
      <c r="C1152" s="1373"/>
      <c r="D1152" s="1389"/>
      <c r="E1152" s="1390"/>
      <c r="F1152" s="1391"/>
      <c r="G1152" s="1391"/>
      <c r="H1152" s="1392"/>
      <c r="I1152" s="1392"/>
    </row>
    <row r="1153" spans="1:9" ht="15">
      <c r="A1153" s="1366"/>
      <c r="B1153" s="1388"/>
      <c r="C1153" s="1373"/>
      <c r="D1153" s="1389"/>
      <c r="E1153" s="1390"/>
      <c r="F1153" s="1391"/>
      <c r="G1153" s="1391"/>
      <c r="H1153" s="1392"/>
      <c r="I1153" s="1392"/>
    </row>
    <row r="1154" spans="1:9" ht="15">
      <c r="A1154" s="1366"/>
      <c r="B1154" s="1388"/>
      <c r="C1154" s="1373"/>
      <c r="D1154" s="1389"/>
      <c r="E1154" s="1390"/>
      <c r="F1154" s="1391"/>
      <c r="G1154" s="1391"/>
      <c r="H1154" s="1392"/>
      <c r="I1154" s="1392"/>
    </row>
    <row r="1155" spans="1:9" ht="15">
      <c r="A1155" s="1366"/>
      <c r="B1155" s="1388"/>
      <c r="C1155" s="1373"/>
      <c r="D1155" s="1389"/>
      <c r="E1155" s="1390"/>
      <c r="F1155" s="1391"/>
      <c r="G1155" s="1391"/>
      <c r="H1155" s="1392"/>
      <c r="I1155" s="1392"/>
    </row>
    <row r="1156" spans="1:9" ht="15">
      <c r="A1156" s="1366"/>
      <c r="B1156" s="1388"/>
      <c r="C1156" s="1373"/>
      <c r="D1156" s="1389"/>
      <c r="E1156" s="1390"/>
      <c r="F1156" s="1391"/>
      <c r="G1156" s="1391"/>
      <c r="H1156" s="1392"/>
      <c r="I1156" s="1392"/>
    </row>
    <row r="1157" spans="1:9" ht="15">
      <c r="A1157" s="1366"/>
      <c r="B1157" s="1388"/>
      <c r="C1157" s="1373"/>
      <c r="D1157" s="1389"/>
      <c r="E1157" s="1390"/>
      <c r="F1157" s="1391"/>
      <c r="G1157" s="1391"/>
      <c r="H1157" s="1392"/>
      <c r="I1157" s="1392"/>
    </row>
    <row r="1158" spans="1:9" ht="15">
      <c r="A1158" s="1366"/>
      <c r="B1158" s="1388"/>
      <c r="C1158" s="1373"/>
      <c r="D1158" s="1389"/>
      <c r="E1158" s="1390"/>
      <c r="F1158" s="1391"/>
      <c r="G1158" s="1391"/>
      <c r="H1158" s="1392"/>
      <c r="I1158" s="1392"/>
    </row>
    <row r="1159" spans="1:9" ht="15">
      <c r="A1159" s="1366"/>
      <c r="B1159" s="1388"/>
      <c r="C1159" s="1373"/>
      <c r="D1159" s="1389"/>
      <c r="E1159" s="1390"/>
      <c r="F1159" s="1391"/>
      <c r="G1159" s="1391"/>
      <c r="H1159" s="1392"/>
      <c r="I1159" s="1392"/>
    </row>
    <row r="1160" spans="1:9" ht="15">
      <c r="A1160" s="1366"/>
      <c r="B1160" s="1388"/>
      <c r="C1160" s="1373"/>
      <c r="D1160" s="1389"/>
      <c r="E1160" s="1390"/>
      <c r="F1160" s="1391"/>
      <c r="G1160" s="1391"/>
      <c r="H1160" s="1392"/>
      <c r="I1160" s="1392"/>
    </row>
    <row r="1161" spans="1:9" ht="15">
      <c r="A1161" s="1366"/>
      <c r="B1161" s="1388"/>
      <c r="C1161" s="1373"/>
      <c r="D1161" s="1389"/>
      <c r="E1161" s="1390"/>
      <c r="F1161" s="1391"/>
      <c r="G1161" s="1391"/>
      <c r="H1161" s="1392"/>
      <c r="I1161" s="1392"/>
    </row>
    <row r="1162" spans="1:9" ht="15">
      <c r="A1162" s="1366"/>
      <c r="B1162" s="1388"/>
      <c r="C1162" s="1373"/>
      <c r="D1162" s="1389"/>
      <c r="E1162" s="1390"/>
      <c r="F1162" s="1391"/>
      <c r="G1162" s="1391"/>
      <c r="H1162" s="1392"/>
      <c r="I1162" s="1392"/>
    </row>
    <row r="1163" spans="1:9" ht="15">
      <c r="A1163" s="1366"/>
      <c r="B1163" s="1388"/>
      <c r="C1163" s="1373"/>
      <c r="D1163" s="1389"/>
      <c r="E1163" s="1390"/>
      <c r="F1163" s="1391"/>
      <c r="G1163" s="1391"/>
      <c r="H1163" s="1392"/>
      <c r="I1163" s="1392"/>
    </row>
    <row r="1164" spans="1:9" ht="15">
      <c r="A1164" s="1366"/>
      <c r="B1164" s="1388"/>
      <c r="C1164" s="1373"/>
      <c r="D1164" s="1389"/>
      <c r="E1164" s="1390"/>
      <c r="F1164" s="1391"/>
      <c r="G1164" s="1391"/>
      <c r="H1164" s="1392"/>
      <c r="I1164" s="1392"/>
    </row>
    <row r="1165" spans="1:9" ht="15">
      <c r="A1165" s="1366"/>
      <c r="B1165" s="1388"/>
      <c r="C1165" s="1373"/>
      <c r="D1165" s="1389"/>
      <c r="E1165" s="1390"/>
      <c r="F1165" s="1391"/>
      <c r="G1165" s="1391"/>
      <c r="H1165" s="1392"/>
      <c r="I1165" s="1392"/>
    </row>
    <row r="1166" spans="1:9" ht="15">
      <c r="A1166" s="1366"/>
      <c r="B1166" s="1388"/>
      <c r="C1166" s="1373"/>
      <c r="D1166" s="1389"/>
      <c r="E1166" s="1390"/>
      <c r="F1166" s="1391"/>
      <c r="G1166" s="1391"/>
      <c r="H1166" s="1392"/>
      <c r="I1166" s="1392"/>
    </row>
    <row r="1167" spans="1:9" ht="15">
      <c r="A1167" s="1366"/>
      <c r="B1167" s="1388"/>
      <c r="C1167" s="1373"/>
      <c r="D1167" s="1389"/>
      <c r="E1167" s="1390"/>
      <c r="F1167" s="1391"/>
      <c r="G1167" s="1391"/>
      <c r="H1167" s="1392"/>
      <c r="I1167" s="1392"/>
    </row>
    <row r="1168" spans="1:9" ht="15">
      <c r="A1168" s="1366"/>
      <c r="B1168" s="1388"/>
      <c r="C1168" s="1373"/>
      <c r="D1168" s="1389"/>
      <c r="E1168" s="1390"/>
      <c r="F1168" s="1391"/>
      <c r="G1168" s="1391"/>
      <c r="H1168" s="1392"/>
      <c r="I1168" s="1392"/>
    </row>
    <row r="1169" spans="1:9" ht="15">
      <c r="A1169" s="1366"/>
      <c r="B1169" s="1388"/>
      <c r="C1169" s="1373"/>
      <c r="D1169" s="1389"/>
      <c r="E1169" s="1390"/>
      <c r="F1169" s="1391"/>
      <c r="G1169" s="1391"/>
      <c r="H1169" s="1392"/>
      <c r="I1169" s="1392"/>
    </row>
    <row r="1170" spans="1:9" ht="15">
      <c r="A1170" s="1366"/>
      <c r="B1170" s="1388"/>
      <c r="C1170" s="1373"/>
      <c r="D1170" s="1389"/>
      <c r="E1170" s="1390"/>
      <c r="F1170" s="1391"/>
      <c r="G1170" s="1391"/>
      <c r="H1170" s="1392"/>
      <c r="I1170" s="1392"/>
    </row>
    <row r="1171" spans="1:9" ht="15">
      <c r="A1171" s="1366"/>
      <c r="B1171" s="1388"/>
      <c r="C1171" s="1373"/>
      <c r="D1171" s="1389"/>
      <c r="E1171" s="1390"/>
      <c r="F1171" s="1391"/>
      <c r="G1171" s="1391"/>
      <c r="H1171" s="1392"/>
      <c r="I1171" s="1392"/>
    </row>
    <row r="1172" spans="1:9" ht="15">
      <c r="A1172" s="1366"/>
      <c r="B1172" s="1388"/>
      <c r="C1172" s="1373"/>
      <c r="D1172" s="1389"/>
      <c r="E1172" s="1390"/>
      <c r="F1172" s="1391"/>
      <c r="G1172" s="1391"/>
      <c r="H1172" s="1392"/>
      <c r="I1172" s="1392"/>
    </row>
    <row r="1173" spans="1:9" ht="15">
      <c r="A1173" s="1366"/>
      <c r="B1173" s="1388"/>
      <c r="C1173" s="1373"/>
      <c r="D1173" s="1389"/>
      <c r="E1173" s="1390"/>
      <c r="F1173" s="1391"/>
      <c r="G1173" s="1391"/>
      <c r="H1173" s="1392"/>
      <c r="I1173" s="1392"/>
    </row>
    <row r="1174" spans="1:9" ht="15">
      <c r="A1174" s="1366"/>
      <c r="B1174" s="1388"/>
      <c r="C1174" s="1373"/>
      <c r="D1174" s="1389"/>
      <c r="E1174" s="1390"/>
      <c r="F1174" s="1391"/>
      <c r="G1174" s="1391"/>
      <c r="H1174" s="1392"/>
      <c r="I1174" s="1392"/>
    </row>
    <row r="1175" spans="1:9" ht="15">
      <c r="A1175" s="1366"/>
      <c r="B1175" s="1388"/>
      <c r="C1175" s="1373"/>
      <c r="D1175" s="1389"/>
      <c r="E1175" s="1390"/>
      <c r="F1175" s="1391"/>
      <c r="G1175" s="1391"/>
      <c r="H1175" s="1392"/>
      <c r="I1175" s="1392"/>
    </row>
    <row r="1176" spans="1:9" ht="15">
      <c r="A1176" s="1366"/>
      <c r="B1176" s="1388"/>
      <c r="C1176" s="1373"/>
      <c r="D1176" s="1389"/>
      <c r="E1176" s="1390"/>
      <c r="F1176" s="1391"/>
      <c r="G1176" s="1391"/>
      <c r="H1176" s="1392"/>
      <c r="I1176" s="1392"/>
    </row>
    <row r="1177" spans="1:9" ht="15">
      <c r="A1177" s="1366"/>
      <c r="B1177" s="1388"/>
      <c r="C1177" s="1373"/>
      <c r="D1177" s="1389"/>
      <c r="E1177" s="1390"/>
      <c r="F1177" s="1391"/>
      <c r="G1177" s="1391"/>
      <c r="H1177" s="1392"/>
      <c r="I1177" s="1392"/>
    </row>
    <row r="1178" spans="1:9" ht="15">
      <c r="A1178" s="1366"/>
      <c r="B1178" s="1388"/>
      <c r="C1178" s="1373"/>
      <c r="D1178" s="1389"/>
      <c r="E1178" s="1390"/>
      <c r="F1178" s="1391"/>
      <c r="G1178" s="1391"/>
      <c r="H1178" s="1392"/>
      <c r="I1178" s="1392"/>
    </row>
    <row r="1179" spans="1:9" ht="15">
      <c r="A1179" s="1366"/>
      <c r="B1179" s="1388"/>
      <c r="C1179" s="1373"/>
      <c r="D1179" s="1389"/>
      <c r="E1179" s="1390"/>
      <c r="F1179" s="1391"/>
      <c r="G1179" s="1391"/>
      <c r="H1179" s="1392"/>
      <c r="I1179" s="1392"/>
    </row>
    <row r="1180" spans="1:9" ht="15">
      <c r="A1180" s="1366"/>
      <c r="B1180" s="1388"/>
      <c r="C1180" s="1373"/>
      <c r="D1180" s="1389"/>
      <c r="E1180" s="1390"/>
      <c r="F1180" s="1391"/>
      <c r="G1180" s="1391"/>
      <c r="H1180" s="1392"/>
      <c r="I1180" s="1392"/>
    </row>
    <row r="1181" spans="1:9" ht="15">
      <c r="A1181" s="1366"/>
      <c r="B1181" s="1388"/>
      <c r="C1181" s="1373"/>
      <c r="D1181" s="1389"/>
      <c r="E1181" s="1390"/>
      <c r="F1181" s="1391"/>
      <c r="G1181" s="1391"/>
      <c r="H1181" s="1392"/>
      <c r="I1181" s="1392"/>
    </row>
    <row r="1182" spans="1:9" ht="15">
      <c r="A1182" s="1366"/>
      <c r="B1182" s="1388"/>
      <c r="C1182" s="1373"/>
      <c r="D1182" s="1389"/>
      <c r="E1182" s="1390"/>
      <c r="F1182" s="1391"/>
      <c r="G1182" s="1391"/>
      <c r="H1182" s="1392"/>
      <c r="I1182" s="1392"/>
    </row>
    <row r="1183" spans="1:9" ht="15">
      <c r="A1183" s="1366"/>
      <c r="B1183" s="1388"/>
      <c r="C1183" s="1373"/>
      <c r="D1183" s="1389"/>
      <c r="E1183" s="1390"/>
      <c r="F1183" s="1391"/>
      <c r="G1183" s="1391"/>
      <c r="H1183" s="1392"/>
      <c r="I1183" s="1392"/>
    </row>
    <row r="1184" spans="1:9" ht="15">
      <c r="A1184" s="1366"/>
      <c r="B1184" s="1388"/>
      <c r="C1184" s="1373"/>
      <c r="D1184" s="1389"/>
      <c r="E1184" s="1390"/>
      <c r="F1184" s="1391"/>
      <c r="G1184" s="1391"/>
      <c r="H1184" s="1392"/>
      <c r="I1184" s="1392"/>
    </row>
    <row r="1185" spans="1:9" ht="15">
      <c r="A1185" s="1366"/>
      <c r="B1185" s="1388"/>
      <c r="C1185" s="1373"/>
      <c r="D1185" s="1389"/>
      <c r="E1185" s="1390"/>
      <c r="F1185" s="1391"/>
      <c r="G1185" s="1391"/>
      <c r="H1185" s="1392"/>
      <c r="I1185" s="1392"/>
    </row>
    <row r="1186" spans="1:9" ht="15">
      <c r="A1186" s="1366"/>
      <c r="B1186" s="1388"/>
      <c r="C1186" s="1373"/>
      <c r="D1186" s="1389"/>
      <c r="E1186" s="1390"/>
      <c r="F1186" s="1391"/>
      <c r="G1186" s="1391"/>
      <c r="H1186" s="1392"/>
      <c r="I1186" s="1392"/>
    </row>
    <row r="1187" spans="1:9" ht="15">
      <c r="A1187" s="1366"/>
      <c r="B1187" s="1388"/>
      <c r="C1187" s="1373"/>
      <c r="D1187" s="1389"/>
      <c r="E1187" s="1390"/>
      <c r="F1187" s="1391"/>
      <c r="G1187" s="1391"/>
      <c r="H1187" s="1392"/>
      <c r="I1187" s="1392"/>
    </row>
    <row r="1188" spans="1:9" ht="15">
      <c r="A1188" s="1366"/>
      <c r="B1188" s="1388"/>
      <c r="C1188" s="1373"/>
      <c r="D1188" s="1389"/>
      <c r="E1188" s="1390"/>
      <c r="F1188" s="1391"/>
      <c r="G1188" s="1391"/>
      <c r="H1188" s="1392"/>
      <c r="I1188" s="1392"/>
    </row>
    <row r="1189" spans="1:9" ht="15">
      <c r="A1189" s="1366"/>
      <c r="B1189" s="1388"/>
      <c r="C1189" s="1373"/>
      <c r="D1189" s="1389"/>
      <c r="E1189" s="1390"/>
      <c r="F1189" s="1391"/>
      <c r="G1189" s="1391"/>
      <c r="H1189" s="1392"/>
      <c r="I1189" s="1392"/>
    </row>
    <row r="1190" spans="1:9" ht="15">
      <c r="A1190" s="1366"/>
      <c r="B1190" s="1388"/>
      <c r="C1190" s="1373"/>
      <c r="D1190" s="1389"/>
      <c r="E1190" s="1390"/>
      <c r="F1190" s="1391"/>
      <c r="G1190" s="1391"/>
      <c r="H1190" s="1392"/>
      <c r="I1190" s="1392"/>
    </row>
    <row r="1191" spans="1:9" ht="15">
      <c r="A1191" s="1366"/>
      <c r="B1191" s="1388"/>
      <c r="C1191" s="1373"/>
      <c r="D1191" s="1389"/>
      <c r="E1191" s="1390"/>
      <c r="F1191" s="1391"/>
      <c r="G1191" s="1391"/>
      <c r="H1191" s="1392"/>
      <c r="I1191" s="1392"/>
    </row>
    <row r="1192" spans="1:9" ht="15">
      <c r="A1192" s="1366"/>
      <c r="B1192" s="1388"/>
      <c r="C1192" s="1373"/>
      <c r="D1192" s="1389"/>
      <c r="E1192" s="1390"/>
      <c r="F1192" s="1391"/>
      <c r="G1192" s="1391"/>
      <c r="H1192" s="1392"/>
      <c r="I1192" s="1392"/>
    </row>
    <row r="1193" spans="1:9" ht="15">
      <c r="A1193" s="1366"/>
      <c r="B1193" s="1388"/>
      <c r="C1193" s="1373"/>
      <c r="D1193" s="1389"/>
      <c r="E1193" s="1390"/>
      <c r="F1193" s="1391"/>
      <c r="G1193" s="1391"/>
      <c r="H1193" s="1392"/>
      <c r="I1193" s="1392"/>
    </row>
    <row r="1194" spans="1:9" ht="15">
      <c r="A1194" s="1366"/>
      <c r="B1194" s="1388"/>
      <c r="C1194" s="1373"/>
      <c r="D1194" s="1389"/>
      <c r="E1194" s="1390"/>
      <c r="F1194" s="1391"/>
      <c r="G1194" s="1391"/>
      <c r="H1194" s="1392"/>
      <c r="I1194" s="1392"/>
    </row>
    <row r="1195" spans="1:9" ht="15">
      <c r="A1195" s="1366"/>
      <c r="B1195" s="1388"/>
      <c r="C1195" s="1373"/>
      <c r="D1195" s="1389"/>
      <c r="E1195" s="1390"/>
      <c r="F1195" s="1391"/>
      <c r="G1195" s="1391"/>
      <c r="H1195" s="1392"/>
      <c r="I1195" s="1392"/>
    </row>
    <row r="1196" spans="1:9" ht="15">
      <c r="A1196" s="1366"/>
      <c r="B1196" s="1388"/>
      <c r="C1196" s="1373"/>
      <c r="D1196" s="1389"/>
      <c r="E1196" s="1390"/>
      <c r="F1196" s="1391"/>
      <c r="G1196" s="1391"/>
      <c r="H1196" s="1392"/>
      <c r="I1196" s="1392"/>
    </row>
    <row r="1197" spans="1:9" ht="15">
      <c r="A1197" s="1366"/>
      <c r="B1197" s="1388"/>
      <c r="C1197" s="1373"/>
      <c r="D1197" s="1389"/>
      <c r="E1197" s="1390"/>
      <c r="F1197" s="1391"/>
      <c r="G1197" s="1391"/>
      <c r="H1197" s="1392"/>
      <c r="I1197" s="1392"/>
    </row>
    <row r="1198" spans="1:9" ht="15">
      <c r="A1198" s="1366"/>
      <c r="B1198" s="1388"/>
      <c r="C1198" s="1373"/>
      <c r="D1198" s="1389"/>
      <c r="E1198" s="1390"/>
      <c r="F1198" s="1391"/>
      <c r="G1198" s="1391"/>
      <c r="H1198" s="1392"/>
      <c r="I1198" s="1392"/>
    </row>
    <row r="1199" spans="1:9" ht="15">
      <c r="A1199" s="1366"/>
      <c r="B1199" s="1388"/>
      <c r="C1199" s="1373"/>
      <c r="D1199" s="1389"/>
      <c r="E1199" s="1390"/>
      <c r="F1199" s="1391"/>
      <c r="G1199" s="1391"/>
      <c r="H1199" s="1392"/>
      <c r="I1199" s="1392"/>
    </row>
    <row r="1200" spans="1:9" ht="15">
      <c r="A1200" s="1366"/>
      <c r="B1200" s="1388"/>
      <c r="C1200" s="1373"/>
      <c r="D1200" s="1389"/>
      <c r="E1200" s="1390"/>
      <c r="F1200" s="1391"/>
      <c r="G1200" s="1391"/>
      <c r="H1200" s="1392"/>
      <c r="I1200" s="1392"/>
    </row>
    <row r="1201" spans="1:9" ht="15">
      <c r="A1201" s="1366"/>
      <c r="B1201" s="1388"/>
      <c r="C1201" s="1373"/>
      <c r="D1201" s="1389"/>
      <c r="E1201" s="1390"/>
      <c r="F1201" s="1391"/>
      <c r="G1201" s="1391"/>
      <c r="H1201" s="1392"/>
      <c r="I1201" s="1392"/>
    </row>
    <row r="1202" spans="1:9" ht="15">
      <c r="A1202" s="1366"/>
      <c r="B1202" s="1388"/>
      <c r="C1202" s="1373"/>
      <c r="D1202" s="1389"/>
      <c r="E1202" s="1390"/>
      <c r="F1202" s="1391"/>
      <c r="G1202" s="1391"/>
      <c r="H1202" s="1392"/>
      <c r="I1202" s="1392"/>
    </row>
    <row r="1203" spans="1:9" ht="15">
      <c r="A1203" s="1366"/>
      <c r="B1203" s="1388"/>
      <c r="C1203" s="1373"/>
      <c r="D1203" s="1389"/>
      <c r="E1203" s="1390"/>
      <c r="F1203" s="1391"/>
      <c r="G1203" s="1391"/>
      <c r="H1203" s="1392"/>
      <c r="I1203" s="1392"/>
    </row>
    <row r="1204" spans="1:9" ht="15">
      <c r="A1204" s="1366"/>
      <c r="B1204" s="1388"/>
      <c r="C1204" s="1373"/>
      <c r="D1204" s="1389"/>
      <c r="E1204" s="1390"/>
      <c r="F1204" s="1391"/>
      <c r="G1204" s="1391"/>
      <c r="H1204" s="1392"/>
      <c r="I1204" s="1392"/>
    </row>
    <row r="1205" spans="1:9" ht="15">
      <c r="A1205" s="1366"/>
      <c r="B1205" s="1388"/>
      <c r="C1205" s="1373"/>
      <c r="D1205" s="1389"/>
      <c r="E1205" s="1390"/>
      <c r="F1205" s="1391"/>
      <c r="G1205" s="1391"/>
      <c r="H1205" s="1392"/>
      <c r="I1205" s="1392"/>
    </row>
    <row r="1206" spans="1:9" ht="15">
      <c r="A1206" s="1366"/>
      <c r="B1206" s="1388"/>
      <c r="C1206" s="1373"/>
      <c r="D1206" s="1389"/>
      <c r="E1206" s="1390"/>
      <c r="F1206" s="1391"/>
      <c r="G1206" s="1391"/>
      <c r="H1206" s="1392"/>
      <c r="I1206" s="1392"/>
    </row>
    <row r="1207" spans="1:9" ht="15">
      <c r="A1207" s="1366"/>
      <c r="B1207" s="1388"/>
      <c r="C1207" s="1373"/>
      <c r="D1207" s="1389"/>
      <c r="E1207" s="1390"/>
      <c r="F1207" s="1391"/>
      <c r="G1207" s="1391"/>
      <c r="H1207" s="1392"/>
      <c r="I1207" s="1392"/>
    </row>
    <row r="1208" spans="1:9" ht="15">
      <c r="A1208" s="1366"/>
      <c r="B1208" s="1388"/>
      <c r="C1208" s="1373"/>
      <c r="D1208" s="1389"/>
      <c r="E1208" s="1390"/>
      <c r="F1208" s="1391"/>
      <c r="G1208" s="1391"/>
      <c r="H1208" s="1392"/>
      <c r="I1208" s="1392"/>
    </row>
    <row r="1209" spans="1:9" ht="15">
      <c r="A1209" s="1366"/>
      <c r="B1209" s="1388"/>
      <c r="C1209" s="1373"/>
      <c r="D1209" s="1389"/>
      <c r="E1209" s="1390"/>
      <c r="F1209" s="1391"/>
      <c r="G1209" s="1391"/>
      <c r="H1209" s="1392"/>
      <c r="I1209" s="1392"/>
    </row>
    <row r="1210" spans="1:9" ht="15">
      <c r="A1210" s="1366"/>
      <c r="B1210" s="1388"/>
      <c r="C1210" s="1373"/>
      <c r="D1210" s="1389"/>
      <c r="E1210" s="1390"/>
      <c r="F1210" s="1391"/>
      <c r="G1210" s="1391"/>
      <c r="H1210" s="1392"/>
      <c r="I1210" s="1392"/>
    </row>
    <row r="1211" spans="1:9" ht="15">
      <c r="A1211" s="1366"/>
      <c r="B1211" s="1388"/>
      <c r="C1211" s="1373"/>
      <c r="D1211" s="1389"/>
      <c r="E1211" s="1390"/>
      <c r="F1211" s="1391"/>
      <c r="G1211" s="1391"/>
      <c r="H1211" s="1392"/>
      <c r="I1211" s="1392"/>
    </row>
    <row r="1212" spans="1:9" ht="15">
      <c r="A1212" s="1366"/>
      <c r="B1212" s="1388"/>
      <c r="C1212" s="1373"/>
      <c r="D1212" s="1389"/>
      <c r="E1212" s="1390"/>
      <c r="F1212" s="1391"/>
      <c r="G1212" s="1391"/>
      <c r="H1212" s="1392"/>
      <c r="I1212" s="1392"/>
    </row>
    <row r="1213" spans="1:9" ht="15">
      <c r="A1213" s="1366"/>
      <c r="B1213" s="1388"/>
      <c r="C1213" s="1373"/>
      <c r="D1213" s="1389"/>
      <c r="E1213" s="1390"/>
      <c r="F1213" s="1391"/>
      <c r="G1213" s="1391"/>
      <c r="H1213" s="1392"/>
      <c r="I1213" s="1392"/>
    </row>
    <row r="1214" spans="1:9" ht="15">
      <c r="A1214" s="1366"/>
      <c r="B1214" s="1388"/>
      <c r="C1214" s="1373"/>
      <c r="D1214" s="1389"/>
      <c r="E1214" s="1390"/>
      <c r="F1214" s="1391"/>
      <c r="G1214" s="1391"/>
      <c r="H1214" s="1392"/>
      <c r="I1214" s="1392"/>
    </row>
    <row r="1215" spans="1:9" ht="15">
      <c r="A1215" s="1366"/>
      <c r="B1215" s="1388"/>
      <c r="C1215" s="1373"/>
      <c r="D1215" s="1389"/>
      <c r="E1215" s="1390"/>
      <c r="F1215" s="1391"/>
      <c r="G1215" s="1391"/>
      <c r="H1215" s="1392"/>
      <c r="I1215" s="1392"/>
    </row>
    <row r="1216" spans="1:9" ht="15">
      <c r="A1216" s="1366"/>
      <c r="B1216" s="1388"/>
      <c r="C1216" s="1373"/>
      <c r="D1216" s="1389"/>
      <c r="E1216" s="1390"/>
      <c r="F1216" s="1391"/>
      <c r="G1216" s="1391"/>
      <c r="H1216" s="1392"/>
      <c r="I1216" s="1392"/>
    </row>
    <row r="1217" spans="1:9" ht="15">
      <c r="A1217" s="1366"/>
      <c r="B1217" s="1388"/>
      <c r="C1217" s="1373"/>
      <c r="D1217" s="1389"/>
      <c r="E1217" s="1390"/>
      <c r="F1217" s="1391"/>
      <c r="G1217" s="1391"/>
      <c r="H1217" s="1392"/>
      <c r="I1217" s="1392"/>
    </row>
    <row r="1218" spans="1:9" ht="15">
      <c r="A1218" s="1366"/>
      <c r="B1218" s="1388"/>
      <c r="C1218" s="1373"/>
      <c r="D1218" s="1389"/>
      <c r="E1218" s="1390"/>
      <c r="F1218" s="1391"/>
      <c r="G1218" s="1391"/>
      <c r="H1218" s="1392"/>
      <c r="I1218" s="1392"/>
    </row>
    <row r="1219" spans="1:9" ht="15">
      <c r="A1219" s="1366"/>
      <c r="B1219" s="1388"/>
      <c r="C1219" s="1373"/>
      <c r="D1219" s="1389"/>
      <c r="E1219" s="1390"/>
      <c r="F1219" s="1391"/>
      <c r="G1219" s="1391"/>
      <c r="H1219" s="1392"/>
      <c r="I1219" s="1392"/>
    </row>
    <row r="1220" spans="1:9" ht="15">
      <c r="A1220" s="1366"/>
      <c r="B1220" s="1388"/>
      <c r="C1220" s="1373"/>
      <c r="D1220" s="1389"/>
      <c r="E1220" s="1390"/>
      <c r="F1220" s="1391"/>
      <c r="G1220" s="1391"/>
      <c r="H1220" s="1392"/>
      <c r="I1220" s="1392"/>
    </row>
    <row r="1221" spans="1:9" ht="15">
      <c r="A1221" s="1366"/>
      <c r="B1221" s="1388"/>
      <c r="C1221" s="1373"/>
      <c r="D1221" s="1389"/>
      <c r="E1221" s="1390"/>
      <c r="F1221" s="1391"/>
      <c r="G1221" s="1391"/>
      <c r="H1221" s="1392"/>
      <c r="I1221" s="1392"/>
    </row>
    <row r="1222" spans="1:9" ht="15">
      <c r="A1222" s="1366"/>
      <c r="B1222" s="1388"/>
      <c r="C1222" s="1373"/>
      <c r="D1222" s="1389"/>
      <c r="E1222" s="1390"/>
      <c r="F1222" s="1391"/>
      <c r="G1222" s="1391"/>
      <c r="H1222" s="1392"/>
      <c r="I1222" s="1392"/>
    </row>
    <row r="1223" spans="1:9" ht="15">
      <c r="A1223" s="1366"/>
      <c r="B1223" s="1388"/>
      <c r="C1223" s="1373"/>
      <c r="D1223" s="1389"/>
      <c r="E1223" s="1390"/>
      <c r="F1223" s="1391"/>
      <c r="G1223" s="1391"/>
      <c r="H1223" s="1392"/>
      <c r="I1223" s="1392"/>
    </row>
    <row r="1224" spans="1:9" ht="15">
      <c r="A1224" s="1366"/>
      <c r="B1224" s="1388"/>
      <c r="C1224" s="1373"/>
      <c r="D1224" s="1389"/>
      <c r="E1224" s="1390"/>
      <c r="F1224" s="1391"/>
      <c r="G1224" s="1391"/>
      <c r="H1224" s="1392"/>
      <c r="I1224" s="1392"/>
    </row>
    <row r="1225" spans="1:9" ht="15">
      <c r="A1225" s="1366"/>
      <c r="B1225" s="1388"/>
      <c r="C1225" s="1373"/>
      <c r="D1225" s="1389"/>
      <c r="E1225" s="1390"/>
      <c r="F1225" s="1391"/>
      <c r="G1225" s="1391"/>
      <c r="H1225" s="1392"/>
      <c r="I1225" s="1392"/>
    </row>
    <row r="1226" spans="1:9" ht="15">
      <c r="A1226" s="1366"/>
      <c r="B1226" s="1388"/>
      <c r="C1226" s="1373"/>
      <c r="D1226" s="1389"/>
      <c r="E1226" s="1390"/>
      <c r="F1226" s="1391"/>
      <c r="G1226" s="1391"/>
      <c r="H1226" s="1392"/>
      <c r="I1226" s="1392"/>
    </row>
    <row r="1227" spans="1:9" ht="15">
      <c r="A1227" s="1366"/>
      <c r="B1227" s="1388"/>
      <c r="C1227" s="1373"/>
      <c r="D1227" s="1389"/>
      <c r="E1227" s="1390"/>
      <c r="F1227" s="1391"/>
      <c r="G1227" s="1391"/>
      <c r="H1227" s="1392"/>
      <c r="I1227" s="1392"/>
    </row>
    <row r="1228" spans="1:9" ht="15">
      <c r="A1228" s="1366"/>
      <c r="B1228" s="1388"/>
      <c r="C1228" s="1373"/>
      <c r="D1228" s="1389"/>
      <c r="E1228" s="1390"/>
      <c r="F1228" s="1391"/>
      <c r="G1228" s="1391"/>
      <c r="H1228" s="1392"/>
      <c r="I1228" s="1392"/>
    </row>
    <row r="1229" spans="1:9" ht="15">
      <c r="A1229" s="1366"/>
      <c r="B1229" s="1388"/>
      <c r="C1229" s="1373"/>
      <c r="D1229" s="1389"/>
      <c r="E1229" s="1390"/>
      <c r="F1229" s="1391"/>
      <c r="G1229" s="1391"/>
      <c r="H1229" s="1392"/>
      <c r="I1229" s="1392"/>
    </row>
    <row r="1230" spans="1:9" ht="15">
      <c r="A1230" s="1366"/>
      <c r="B1230" s="1388"/>
      <c r="C1230" s="1373"/>
      <c r="D1230" s="1389"/>
      <c r="E1230" s="1390"/>
      <c r="F1230" s="1391"/>
      <c r="G1230" s="1391"/>
      <c r="H1230" s="1392"/>
      <c r="I1230" s="1392"/>
    </row>
    <row r="1231" spans="1:9" ht="15">
      <c r="A1231" s="1366"/>
      <c r="B1231" s="1388"/>
      <c r="C1231" s="1373"/>
      <c r="D1231" s="1389"/>
      <c r="E1231" s="1390"/>
      <c r="F1231" s="1391"/>
      <c r="G1231" s="1391"/>
      <c r="H1231" s="1392"/>
      <c r="I1231" s="1392"/>
    </row>
    <row r="1232" spans="1:9" ht="15">
      <c r="A1232" s="1366"/>
      <c r="B1232" s="1388"/>
      <c r="C1232" s="1373"/>
      <c r="D1232" s="1389"/>
      <c r="E1232" s="1390"/>
      <c r="F1232" s="1391"/>
      <c r="G1232" s="1391"/>
      <c r="H1232" s="1392"/>
      <c r="I1232" s="1392"/>
    </row>
    <row r="1233" spans="1:9" ht="15">
      <c r="A1233" s="1366"/>
      <c r="B1233" s="1388"/>
      <c r="C1233" s="1373"/>
      <c r="D1233" s="1389"/>
      <c r="E1233" s="1390"/>
      <c r="F1233" s="1391"/>
      <c r="G1233" s="1391"/>
      <c r="H1233" s="1392"/>
      <c r="I1233" s="1392"/>
    </row>
    <row r="1234" spans="1:9" ht="15">
      <c r="A1234" s="1366"/>
      <c r="B1234" s="1388"/>
      <c r="C1234" s="1373"/>
      <c r="D1234" s="1389"/>
      <c r="E1234" s="1390"/>
      <c r="F1234" s="1391"/>
      <c r="G1234" s="1391"/>
      <c r="H1234" s="1392"/>
      <c r="I1234" s="1392"/>
    </row>
    <row r="1235" spans="1:9" ht="15">
      <c r="A1235" s="1366"/>
      <c r="B1235" s="1388"/>
      <c r="C1235" s="1373"/>
      <c r="D1235" s="1389"/>
      <c r="E1235" s="1390"/>
      <c r="F1235" s="1391"/>
      <c r="G1235" s="1391"/>
      <c r="H1235" s="1392"/>
      <c r="I1235" s="1392"/>
    </row>
    <row r="1236" spans="1:9" ht="15">
      <c r="A1236" s="1366"/>
      <c r="B1236" s="1388"/>
      <c r="C1236" s="1373"/>
      <c r="D1236" s="1389"/>
      <c r="E1236" s="1390"/>
      <c r="F1236" s="1391"/>
      <c r="G1236" s="1391"/>
      <c r="H1236" s="1392"/>
      <c r="I1236" s="1392"/>
    </row>
    <row r="1237" spans="1:9" ht="15">
      <c r="A1237" s="1366"/>
      <c r="B1237" s="1388"/>
      <c r="C1237" s="1373"/>
      <c r="D1237" s="1389"/>
      <c r="E1237" s="1390"/>
      <c r="F1237" s="1391"/>
      <c r="G1237" s="1391"/>
      <c r="H1237" s="1392"/>
      <c r="I1237" s="1392"/>
    </row>
    <row r="1238" spans="1:9" ht="15">
      <c r="A1238" s="1366"/>
      <c r="B1238" s="1388"/>
      <c r="C1238" s="1373"/>
      <c r="D1238" s="1389"/>
      <c r="E1238" s="1390"/>
      <c r="F1238" s="1391"/>
      <c r="G1238" s="1391"/>
      <c r="H1238" s="1392"/>
      <c r="I1238" s="1392"/>
    </row>
    <row r="1239" spans="1:9" ht="15">
      <c r="A1239" s="1366"/>
      <c r="B1239" s="1388"/>
      <c r="C1239" s="1373"/>
      <c r="D1239" s="1389"/>
      <c r="E1239" s="1390"/>
      <c r="F1239" s="1391"/>
      <c r="G1239" s="1391"/>
      <c r="H1239" s="1392"/>
      <c r="I1239" s="1392"/>
    </row>
    <row r="1240" spans="1:9" ht="15">
      <c r="A1240" s="1366"/>
      <c r="B1240" s="1388"/>
      <c r="C1240" s="1373"/>
      <c r="D1240" s="1389"/>
      <c r="E1240" s="1390"/>
      <c r="F1240" s="1391"/>
      <c r="G1240" s="1391"/>
      <c r="H1240" s="1392"/>
      <c r="I1240" s="1392"/>
    </row>
    <row r="1241" spans="1:9" ht="15">
      <c r="A1241" s="1366"/>
      <c r="B1241" s="1388"/>
      <c r="C1241" s="1373"/>
      <c r="D1241" s="1389"/>
      <c r="E1241" s="1390"/>
      <c r="F1241" s="1391"/>
      <c r="G1241" s="1391"/>
      <c r="H1241" s="1392"/>
      <c r="I1241" s="1392"/>
    </row>
    <row r="1242" spans="1:9" ht="15">
      <c r="A1242" s="1366"/>
      <c r="B1242" s="1388"/>
      <c r="C1242" s="1373"/>
      <c r="D1242" s="1389"/>
      <c r="E1242" s="1390"/>
      <c r="F1242" s="1391"/>
      <c r="G1242" s="1391"/>
      <c r="H1242" s="1392"/>
      <c r="I1242" s="1392"/>
    </row>
    <row r="1243" spans="1:9" ht="15">
      <c r="A1243" s="1366"/>
      <c r="B1243" s="1388"/>
      <c r="C1243" s="1373"/>
      <c r="D1243" s="1389"/>
      <c r="E1243" s="1390"/>
      <c r="F1243" s="1391"/>
      <c r="G1243" s="1391"/>
      <c r="H1243" s="1392"/>
      <c r="I1243" s="1392"/>
    </row>
    <row r="1244" spans="1:9" ht="15">
      <c r="A1244" s="1366"/>
      <c r="B1244" s="1388"/>
      <c r="C1244" s="1373"/>
      <c r="D1244" s="1389"/>
      <c r="E1244" s="1390"/>
      <c r="F1244" s="1391"/>
      <c r="G1244" s="1391"/>
      <c r="H1244" s="1392"/>
      <c r="I1244" s="1392"/>
    </row>
    <row r="1245" spans="1:9" ht="15">
      <c r="A1245" s="1366"/>
      <c r="B1245" s="1388"/>
      <c r="C1245" s="1373"/>
      <c r="D1245" s="1389"/>
      <c r="E1245" s="1390"/>
      <c r="F1245" s="1391"/>
      <c r="G1245" s="1391"/>
      <c r="H1245" s="1392"/>
      <c r="I1245" s="1392"/>
    </row>
    <row r="1246" spans="1:9" ht="15">
      <c r="A1246" s="1366"/>
      <c r="B1246" s="1388"/>
      <c r="C1246" s="1373"/>
      <c r="D1246" s="1389"/>
      <c r="E1246" s="1390"/>
      <c r="F1246" s="1391"/>
      <c r="G1246" s="1391"/>
      <c r="H1246" s="1392"/>
      <c r="I1246" s="1392"/>
    </row>
    <row r="1247" spans="1:9" ht="15">
      <c r="A1247" s="1366"/>
      <c r="B1247" s="1388"/>
      <c r="C1247" s="1373"/>
      <c r="D1247" s="1389"/>
      <c r="E1247" s="1390"/>
      <c r="F1247" s="1391"/>
      <c r="G1247" s="1391"/>
      <c r="H1247" s="1392"/>
      <c r="I1247" s="1392"/>
    </row>
    <row r="1248" spans="1:9" ht="15">
      <c r="A1248" s="1366"/>
      <c r="B1248" s="1388"/>
      <c r="C1248" s="1373"/>
      <c r="D1248" s="1389"/>
      <c r="E1248" s="1390"/>
      <c r="F1248" s="1391"/>
      <c r="G1248" s="1391"/>
      <c r="H1248" s="1392"/>
      <c r="I1248" s="1392"/>
    </row>
    <row r="1249" spans="1:9" ht="15">
      <c r="A1249" s="1366"/>
      <c r="B1249" s="1388"/>
      <c r="C1249" s="1373"/>
      <c r="D1249" s="1389"/>
      <c r="E1249" s="1390"/>
      <c r="F1249" s="1391"/>
      <c r="G1249" s="1391"/>
      <c r="H1249" s="1392"/>
      <c r="I1249" s="1392"/>
    </row>
    <row r="1250" spans="1:9" ht="15">
      <c r="A1250" s="1366"/>
      <c r="B1250" s="1388"/>
      <c r="C1250" s="1373"/>
      <c r="D1250" s="1389"/>
      <c r="E1250" s="1390"/>
      <c r="F1250" s="1391"/>
      <c r="G1250" s="1391"/>
      <c r="H1250" s="1392"/>
      <c r="I1250" s="1392"/>
    </row>
    <row r="1251" spans="1:9" ht="15">
      <c r="A1251" s="1366"/>
      <c r="B1251" s="1388"/>
      <c r="C1251" s="1373"/>
      <c r="D1251" s="1389"/>
      <c r="E1251" s="1390"/>
      <c r="F1251" s="1391"/>
      <c r="G1251" s="1391"/>
      <c r="H1251" s="1392"/>
      <c r="I1251" s="1392"/>
    </row>
    <row r="1252" spans="1:9" ht="15">
      <c r="A1252" s="1366"/>
      <c r="B1252" s="1388"/>
      <c r="C1252" s="1373"/>
      <c r="D1252" s="1389"/>
      <c r="E1252" s="1390"/>
      <c r="F1252" s="1391"/>
      <c r="G1252" s="1391"/>
      <c r="H1252" s="1392"/>
      <c r="I1252" s="1392"/>
    </row>
    <row r="1253" spans="1:9" ht="15">
      <c r="A1253" s="1366"/>
      <c r="B1253" s="1388"/>
      <c r="C1253" s="1373"/>
      <c r="D1253" s="1389"/>
      <c r="E1253" s="1390"/>
      <c r="F1253" s="1391"/>
      <c r="G1253" s="1391"/>
      <c r="H1253" s="1392"/>
      <c r="I1253" s="1392"/>
    </row>
    <row r="1254" spans="1:9" ht="15">
      <c r="A1254" s="1366"/>
      <c r="B1254" s="1388"/>
      <c r="C1254" s="1373"/>
      <c r="D1254" s="1389"/>
      <c r="E1254" s="1390"/>
      <c r="F1254" s="1391"/>
      <c r="G1254" s="1391"/>
      <c r="H1254" s="1392"/>
      <c r="I1254" s="1392"/>
    </row>
    <row r="1255" spans="1:9" ht="15">
      <c r="A1255" s="1366"/>
      <c r="B1255" s="1388"/>
      <c r="C1255" s="1373"/>
      <c r="D1255" s="1389"/>
      <c r="E1255" s="1390"/>
      <c r="F1255" s="1391"/>
      <c r="G1255" s="1391"/>
      <c r="H1255" s="1392"/>
      <c r="I1255" s="1392"/>
    </row>
    <row r="1256" spans="1:9" ht="15">
      <c r="A1256" s="1366"/>
      <c r="B1256" s="1388"/>
      <c r="C1256" s="1373"/>
      <c r="D1256" s="1389"/>
      <c r="E1256" s="1390"/>
      <c r="F1256" s="1391"/>
      <c r="G1256" s="1391"/>
      <c r="H1256" s="1392"/>
      <c r="I1256" s="1392"/>
    </row>
    <row r="1257" spans="1:9" ht="15">
      <c r="A1257" s="1366"/>
      <c r="B1257" s="1388"/>
      <c r="C1257" s="1373"/>
      <c r="D1257" s="1389"/>
      <c r="E1257" s="1390"/>
      <c r="F1257" s="1391"/>
      <c r="G1257" s="1391"/>
      <c r="H1257" s="1392"/>
      <c r="I1257" s="1392"/>
    </row>
    <row r="1258" spans="1:9" ht="15">
      <c r="A1258" s="1366"/>
      <c r="B1258" s="1388"/>
      <c r="C1258" s="1373"/>
      <c r="D1258" s="1389"/>
      <c r="E1258" s="1390"/>
      <c r="F1258" s="1391"/>
      <c r="G1258" s="1391"/>
      <c r="H1258" s="1392"/>
      <c r="I1258" s="1392"/>
    </row>
    <row r="1259" spans="1:9" ht="15">
      <c r="A1259" s="1366"/>
      <c r="B1259" s="1388"/>
      <c r="C1259" s="1373"/>
      <c r="D1259" s="1389"/>
      <c r="E1259" s="1390"/>
      <c r="F1259" s="1391"/>
      <c r="G1259" s="1391"/>
      <c r="H1259" s="1392"/>
      <c r="I1259" s="1392"/>
    </row>
    <row r="1260" spans="1:9" ht="15">
      <c r="A1260" s="1366"/>
      <c r="B1260" s="1388"/>
      <c r="C1260" s="1373"/>
      <c r="D1260" s="1389"/>
      <c r="E1260" s="1390"/>
      <c r="F1260" s="1391"/>
      <c r="G1260" s="1391"/>
      <c r="H1260" s="1392"/>
      <c r="I1260" s="1392"/>
    </row>
    <row r="1261" spans="1:9" ht="15">
      <c r="A1261" s="1366"/>
      <c r="B1261" s="1388"/>
      <c r="C1261" s="1373"/>
      <c r="D1261" s="1389"/>
      <c r="E1261" s="1390"/>
      <c r="F1261" s="1391"/>
      <c r="G1261" s="1391"/>
      <c r="H1261" s="1392"/>
      <c r="I1261" s="1392"/>
    </row>
    <row r="1262" spans="1:9" ht="15">
      <c r="A1262" s="1366"/>
      <c r="B1262" s="1388"/>
      <c r="C1262" s="1373"/>
      <c r="D1262" s="1389"/>
      <c r="E1262" s="1390"/>
      <c r="F1262" s="1391"/>
      <c r="G1262" s="1391"/>
      <c r="H1262" s="1392"/>
      <c r="I1262" s="1392"/>
    </row>
    <row r="1263" spans="1:9" ht="15">
      <c r="A1263" s="1366"/>
      <c r="B1263" s="1388"/>
      <c r="C1263" s="1373"/>
      <c r="D1263" s="1389"/>
      <c r="E1263" s="1390"/>
      <c r="F1263" s="1391"/>
      <c r="G1263" s="1391"/>
      <c r="H1263" s="1392"/>
      <c r="I1263" s="1392"/>
    </row>
    <row r="1264" spans="1:9" ht="15">
      <c r="A1264" s="1366"/>
      <c r="B1264" s="1388"/>
      <c r="C1264" s="1373"/>
      <c r="D1264" s="1389"/>
      <c r="E1264" s="1390"/>
      <c r="F1264" s="1391"/>
      <c r="G1264" s="1391"/>
      <c r="H1264" s="1392"/>
      <c r="I1264" s="1392"/>
    </row>
    <row r="1265" spans="1:9" ht="15">
      <c r="A1265" s="1366"/>
      <c r="B1265" s="1388"/>
      <c r="C1265" s="1373"/>
      <c r="D1265" s="1389"/>
      <c r="E1265" s="1390"/>
      <c r="F1265" s="1391"/>
      <c r="G1265" s="1391"/>
      <c r="H1265" s="1392"/>
      <c r="I1265" s="1392"/>
    </row>
    <row r="1266" spans="1:9" ht="15">
      <c r="A1266" s="1366"/>
      <c r="B1266" s="1388"/>
      <c r="C1266" s="1373"/>
      <c r="D1266" s="1389"/>
      <c r="E1266" s="1390"/>
      <c r="F1266" s="1391"/>
      <c r="G1266" s="1391"/>
      <c r="H1266" s="1392"/>
      <c r="I1266" s="1392"/>
    </row>
    <row r="1267" spans="1:9" ht="15">
      <c r="A1267" s="1366"/>
      <c r="B1267" s="1388"/>
      <c r="C1267" s="1373"/>
      <c r="D1267" s="1389"/>
      <c r="E1267" s="1390"/>
      <c r="F1267" s="1391"/>
      <c r="G1267" s="1391"/>
      <c r="H1267" s="1392"/>
      <c r="I1267" s="1392"/>
    </row>
    <row r="1268" spans="1:9" ht="15">
      <c r="A1268" s="1366"/>
      <c r="B1268" s="1388"/>
      <c r="C1268" s="1373"/>
      <c r="D1268" s="1389"/>
      <c r="E1268" s="1390"/>
      <c r="F1268" s="1391"/>
      <c r="G1268" s="1391"/>
      <c r="H1268" s="1392"/>
      <c r="I1268" s="1392"/>
    </row>
    <row r="1269" spans="1:9" ht="15">
      <c r="A1269" s="1366"/>
      <c r="B1269" s="1388"/>
      <c r="C1269" s="1373"/>
      <c r="D1269" s="1389"/>
      <c r="E1269" s="1390"/>
      <c r="F1269" s="1391"/>
      <c r="G1269" s="1391"/>
      <c r="H1269" s="1392"/>
      <c r="I1269" s="1392"/>
    </row>
    <row r="1270" spans="1:9" ht="15">
      <c r="A1270" s="1366"/>
      <c r="B1270" s="1388"/>
      <c r="C1270" s="1373"/>
      <c r="D1270" s="1389"/>
      <c r="E1270" s="1390"/>
      <c r="F1270" s="1391"/>
      <c r="G1270" s="1391"/>
      <c r="H1270" s="1392"/>
      <c r="I1270" s="1392"/>
    </row>
    <row r="1271" spans="1:9" ht="15">
      <c r="A1271" s="1366"/>
      <c r="B1271" s="1388"/>
      <c r="C1271" s="1373"/>
      <c r="D1271" s="1389"/>
      <c r="E1271" s="1390"/>
      <c r="F1271" s="1391"/>
      <c r="G1271" s="1391"/>
      <c r="H1271" s="1392"/>
      <c r="I1271" s="1392"/>
    </row>
    <row r="1272" spans="1:9" ht="15">
      <c r="A1272" s="1366"/>
      <c r="B1272" s="1388"/>
      <c r="C1272" s="1373"/>
      <c r="D1272" s="1389"/>
      <c r="E1272" s="1390"/>
      <c r="F1272" s="1391"/>
      <c r="G1272" s="1391"/>
      <c r="H1272" s="1392"/>
      <c r="I1272" s="1392"/>
    </row>
    <row r="1273" spans="1:9" ht="15">
      <c r="A1273" s="1366"/>
      <c r="B1273" s="1388"/>
      <c r="C1273" s="1373"/>
      <c r="D1273" s="1389"/>
      <c r="E1273" s="1390"/>
      <c r="F1273" s="1391"/>
      <c r="G1273" s="1391"/>
      <c r="H1273" s="1392"/>
      <c r="I1273" s="1392"/>
    </row>
    <row r="1274" spans="1:9" ht="15">
      <c r="A1274" s="1366"/>
      <c r="B1274" s="1388"/>
      <c r="C1274" s="1373"/>
      <c r="D1274" s="1389"/>
      <c r="E1274" s="1390"/>
      <c r="F1274" s="1391"/>
      <c r="G1274" s="1391"/>
      <c r="H1274" s="1392"/>
      <c r="I1274" s="1392"/>
    </row>
    <row r="1275" spans="1:9" ht="15">
      <c r="A1275" s="1366"/>
      <c r="B1275" s="1388"/>
      <c r="C1275" s="1373"/>
      <c r="D1275" s="1389"/>
      <c r="E1275" s="1390"/>
      <c r="F1275" s="1391"/>
      <c r="G1275" s="1391"/>
      <c r="H1275" s="1392"/>
      <c r="I1275" s="1392"/>
    </row>
    <row r="1276" spans="1:9" ht="15">
      <c r="A1276" s="1366"/>
      <c r="B1276" s="1388"/>
      <c r="C1276" s="1373"/>
      <c r="D1276" s="1389"/>
      <c r="E1276" s="1390"/>
      <c r="F1276" s="1391"/>
      <c r="G1276" s="1391"/>
      <c r="H1276" s="1392"/>
      <c r="I1276" s="1392"/>
    </row>
    <row r="1277" spans="1:9" ht="15">
      <c r="A1277" s="1366"/>
      <c r="B1277" s="1388"/>
      <c r="C1277" s="1373"/>
      <c r="D1277" s="1389"/>
      <c r="E1277" s="1390"/>
      <c r="F1277" s="1391"/>
      <c r="G1277" s="1391"/>
      <c r="H1277" s="1392"/>
      <c r="I1277" s="1392"/>
    </row>
    <row r="1278" spans="1:9" ht="15">
      <c r="A1278" s="1366"/>
      <c r="B1278" s="1388"/>
      <c r="C1278" s="1373"/>
      <c r="D1278" s="1389"/>
      <c r="E1278" s="1390"/>
      <c r="F1278" s="1391"/>
      <c r="G1278" s="1391"/>
      <c r="H1278" s="1392"/>
      <c r="I1278" s="1392"/>
    </row>
    <row r="1279" spans="1:9" ht="15">
      <c r="A1279" s="1366"/>
      <c r="B1279" s="1388"/>
      <c r="C1279" s="1373"/>
      <c r="D1279" s="1389"/>
      <c r="E1279" s="1390"/>
      <c r="F1279" s="1391"/>
      <c r="G1279" s="1391"/>
      <c r="H1279" s="1392"/>
      <c r="I1279" s="1392"/>
    </row>
    <row r="1280" spans="1:9" ht="15">
      <c r="A1280" s="1366"/>
      <c r="B1280" s="1388"/>
      <c r="C1280" s="1373"/>
      <c r="D1280" s="1389"/>
      <c r="E1280" s="1390"/>
      <c r="F1280" s="1391"/>
      <c r="G1280" s="1391"/>
      <c r="H1280" s="1392"/>
      <c r="I1280" s="1392"/>
    </row>
    <row r="1281" spans="1:9" ht="15">
      <c r="A1281" s="1366"/>
      <c r="B1281" s="1388"/>
      <c r="C1281" s="1373"/>
      <c r="D1281" s="1389"/>
      <c r="E1281" s="1390"/>
      <c r="F1281" s="1391"/>
      <c r="G1281" s="1391"/>
      <c r="H1281" s="1392"/>
      <c r="I1281" s="1392"/>
    </row>
    <row r="1282" spans="1:9" ht="15">
      <c r="A1282" s="1366"/>
      <c r="B1282" s="1388"/>
      <c r="C1282" s="1373"/>
      <c r="D1282" s="1389"/>
      <c r="E1282" s="1390"/>
      <c r="F1282" s="1391"/>
      <c r="G1282" s="1391"/>
      <c r="H1282" s="1392"/>
      <c r="I1282" s="1392"/>
    </row>
    <row r="1283" spans="1:9" ht="15">
      <c r="A1283" s="1366"/>
      <c r="B1283" s="1388"/>
      <c r="C1283" s="1373"/>
      <c r="D1283" s="1389"/>
      <c r="E1283" s="1390"/>
      <c r="F1283" s="1391"/>
      <c r="G1283" s="1391"/>
      <c r="H1283" s="1392"/>
      <c r="I1283" s="1392"/>
    </row>
    <row r="1284" spans="1:9" ht="15">
      <c r="A1284" s="1366"/>
      <c r="B1284" s="1388"/>
      <c r="C1284" s="1373"/>
      <c r="D1284" s="1389"/>
      <c r="E1284" s="1390"/>
      <c r="F1284" s="1391"/>
      <c r="G1284" s="1391"/>
      <c r="H1284" s="1392"/>
      <c r="I1284" s="1392"/>
    </row>
    <row r="1285" spans="1:9" ht="15">
      <c r="A1285" s="1366"/>
      <c r="B1285" s="1388"/>
      <c r="C1285" s="1373"/>
      <c r="D1285" s="1389"/>
      <c r="E1285" s="1390"/>
      <c r="F1285" s="1391"/>
      <c r="G1285" s="1391"/>
      <c r="H1285" s="1392"/>
      <c r="I1285" s="1392"/>
    </row>
    <row r="1286" spans="1:9" ht="15">
      <c r="A1286" s="1366"/>
      <c r="B1286" s="1388"/>
      <c r="C1286" s="1373"/>
      <c r="D1286" s="1389"/>
      <c r="E1286" s="1390"/>
      <c r="F1286" s="1391"/>
      <c r="G1286" s="1391"/>
      <c r="H1286" s="1392"/>
      <c r="I1286" s="1392"/>
    </row>
    <row r="1287" spans="1:9" ht="15">
      <c r="A1287" s="1366"/>
      <c r="B1287" s="1388"/>
      <c r="C1287" s="1373"/>
      <c r="D1287" s="1389"/>
      <c r="E1287" s="1390"/>
      <c r="F1287" s="1391"/>
      <c r="G1287" s="1391"/>
      <c r="H1287" s="1392"/>
      <c r="I1287" s="1392"/>
    </row>
    <row r="1288" spans="1:9" ht="15">
      <c r="A1288" s="1366"/>
      <c r="B1288" s="1388"/>
      <c r="C1288" s="1373"/>
      <c r="D1288" s="1389"/>
      <c r="E1288" s="1390"/>
      <c r="F1288" s="1391"/>
      <c r="G1288" s="1391"/>
      <c r="H1288" s="1392"/>
      <c r="I1288" s="1392"/>
    </row>
    <row r="1289" spans="1:9" ht="15">
      <c r="A1289" s="1366"/>
      <c r="B1289" s="1388"/>
      <c r="C1289" s="1373"/>
      <c r="D1289" s="1389"/>
      <c r="E1289" s="1390"/>
      <c r="F1289" s="1391"/>
      <c r="G1289" s="1391"/>
      <c r="H1289" s="1392"/>
      <c r="I1289" s="1392"/>
    </row>
    <row r="1290" spans="1:9" ht="15">
      <c r="A1290" s="1366"/>
      <c r="B1290" s="1388"/>
      <c r="C1290" s="1373"/>
      <c r="D1290" s="1389"/>
      <c r="E1290" s="1390"/>
      <c r="F1290" s="1391"/>
      <c r="G1290" s="1391"/>
      <c r="H1290" s="1392"/>
      <c r="I1290" s="1392"/>
    </row>
    <row r="1291" spans="1:9" ht="15">
      <c r="A1291" s="1366"/>
      <c r="B1291" s="1388"/>
      <c r="C1291" s="1373"/>
      <c r="D1291" s="1389"/>
      <c r="E1291" s="1390"/>
      <c r="F1291" s="1391"/>
      <c r="G1291" s="1391"/>
      <c r="H1291" s="1392"/>
      <c r="I1291" s="1392"/>
    </row>
    <row r="1292" spans="1:9" ht="15">
      <c r="A1292" s="1366"/>
      <c r="B1292" s="1388"/>
      <c r="C1292" s="1373"/>
      <c r="D1292" s="1389"/>
      <c r="E1292" s="1390"/>
      <c r="F1292" s="1391"/>
      <c r="G1292" s="1391"/>
      <c r="H1292" s="1392"/>
      <c r="I1292" s="1392"/>
    </row>
    <row r="1293" spans="1:9" ht="15">
      <c r="A1293" s="1366"/>
      <c r="B1293" s="1388"/>
      <c r="C1293" s="1373"/>
      <c r="D1293" s="1389"/>
      <c r="E1293" s="1390"/>
      <c r="F1293" s="1391"/>
      <c r="G1293" s="1391"/>
      <c r="H1293" s="1392"/>
      <c r="I1293" s="1392"/>
    </row>
    <row r="1294" spans="1:9" ht="15">
      <c r="A1294" s="1366"/>
      <c r="B1294" s="1388"/>
      <c r="C1294" s="1373"/>
      <c r="D1294" s="1389"/>
      <c r="E1294" s="1390"/>
      <c r="F1294" s="1391"/>
      <c r="G1294" s="1391"/>
      <c r="H1294" s="1392"/>
      <c r="I1294" s="1392"/>
    </row>
    <row r="1295" spans="1:9" ht="15">
      <c r="A1295" s="1366"/>
      <c r="B1295" s="1388"/>
      <c r="C1295" s="1373"/>
      <c r="D1295" s="1389"/>
      <c r="E1295" s="1390"/>
      <c r="F1295" s="1391"/>
      <c r="G1295" s="1391"/>
      <c r="H1295" s="1392"/>
      <c r="I1295" s="1392"/>
    </row>
    <row r="1296" spans="1:9" ht="15">
      <c r="A1296" s="1366"/>
      <c r="B1296" s="1388"/>
      <c r="C1296" s="1373"/>
      <c r="D1296" s="1389"/>
      <c r="E1296" s="1390"/>
      <c r="F1296" s="1391"/>
      <c r="G1296" s="1391"/>
      <c r="H1296" s="1392"/>
      <c r="I1296" s="1392"/>
    </row>
    <row r="1297" spans="1:9" ht="15">
      <c r="A1297" s="1366"/>
      <c r="B1297" s="1388"/>
      <c r="C1297" s="1373"/>
      <c r="D1297" s="1389"/>
      <c r="E1297" s="1390"/>
      <c r="F1297" s="1391"/>
      <c r="G1297" s="1391"/>
      <c r="H1297" s="1392"/>
      <c r="I1297" s="1392"/>
    </row>
    <row r="1298" spans="1:9" ht="15">
      <c r="A1298" s="1366"/>
      <c r="B1298" s="1388"/>
      <c r="C1298" s="1373"/>
      <c r="D1298" s="1389"/>
      <c r="E1298" s="1390"/>
      <c r="F1298" s="1391"/>
      <c r="G1298" s="1391"/>
      <c r="H1298" s="1392"/>
      <c r="I1298" s="1392"/>
    </row>
    <row r="1299" spans="1:9" ht="15">
      <c r="A1299" s="1366"/>
      <c r="B1299" s="1388"/>
      <c r="C1299" s="1373"/>
      <c r="D1299" s="1389"/>
      <c r="E1299" s="1390"/>
      <c r="F1299" s="1391"/>
      <c r="G1299" s="1391"/>
      <c r="H1299" s="1392"/>
      <c r="I1299" s="1392"/>
    </row>
    <row r="1300" spans="1:9" ht="15">
      <c r="A1300" s="1366"/>
      <c r="B1300" s="1388"/>
      <c r="C1300" s="1373"/>
      <c r="D1300" s="1389"/>
      <c r="E1300" s="1390"/>
      <c r="F1300" s="1391"/>
      <c r="G1300" s="1391"/>
      <c r="H1300" s="1392"/>
      <c r="I1300" s="1392"/>
    </row>
    <row r="1301" spans="1:9" ht="15">
      <c r="A1301" s="1366"/>
      <c r="B1301" s="1388"/>
      <c r="C1301" s="1373"/>
      <c r="D1301" s="1389"/>
      <c r="E1301" s="1390"/>
      <c r="F1301" s="1391"/>
      <c r="G1301" s="1391"/>
      <c r="H1301" s="1392"/>
      <c r="I1301" s="1392"/>
    </row>
    <row r="1302" spans="1:9" ht="15">
      <c r="A1302" s="1366"/>
      <c r="B1302" s="1388"/>
      <c r="C1302" s="1373"/>
      <c r="D1302" s="1389"/>
      <c r="E1302" s="1390"/>
      <c r="F1302" s="1391"/>
      <c r="G1302" s="1391"/>
      <c r="H1302" s="1392"/>
      <c r="I1302" s="1392"/>
    </row>
    <row r="1303" spans="1:9" ht="15">
      <c r="A1303" s="1366"/>
      <c r="B1303" s="1388"/>
      <c r="C1303" s="1373"/>
      <c r="D1303" s="1389"/>
      <c r="E1303" s="1390"/>
      <c r="F1303" s="1391"/>
      <c r="G1303" s="1391"/>
      <c r="H1303" s="1392"/>
      <c r="I1303" s="1392"/>
    </row>
    <row r="1304" spans="1:9" ht="15">
      <c r="A1304" s="1366"/>
      <c r="B1304" s="1388"/>
      <c r="C1304" s="1373"/>
      <c r="D1304" s="1389"/>
      <c r="E1304" s="1390"/>
      <c r="F1304" s="1391"/>
      <c r="G1304" s="1391"/>
      <c r="H1304" s="1392"/>
      <c r="I1304" s="1392"/>
    </row>
    <row r="1305" spans="1:9" ht="15">
      <c r="A1305" s="1366"/>
      <c r="B1305" s="1388"/>
      <c r="C1305" s="1373"/>
      <c r="D1305" s="1389"/>
      <c r="E1305" s="1390"/>
      <c r="F1305" s="1391"/>
      <c r="G1305" s="1391"/>
      <c r="H1305" s="1392"/>
      <c r="I1305" s="1392"/>
    </row>
    <row r="1306" spans="1:9" ht="15">
      <c r="A1306" s="1366"/>
      <c r="B1306" s="1388"/>
      <c r="C1306" s="1373"/>
      <c r="D1306" s="1389"/>
      <c r="E1306" s="1390"/>
      <c r="F1306" s="1391"/>
      <c r="G1306" s="1391"/>
      <c r="H1306" s="1392"/>
      <c r="I1306" s="1392"/>
    </row>
    <row r="1307" spans="1:9" ht="15">
      <c r="A1307" s="1366"/>
      <c r="B1307" s="1388"/>
      <c r="C1307" s="1373"/>
      <c r="D1307" s="1389"/>
      <c r="E1307" s="1390"/>
      <c r="F1307" s="1391"/>
      <c r="G1307" s="1391"/>
      <c r="H1307" s="1392"/>
      <c r="I1307" s="1392"/>
    </row>
    <row r="1308" spans="1:9" ht="15">
      <c r="A1308" s="1366"/>
      <c r="B1308" s="1388"/>
      <c r="C1308" s="1373"/>
      <c r="D1308" s="1389"/>
      <c r="E1308" s="1390"/>
      <c r="F1308" s="1391"/>
      <c r="G1308" s="1391"/>
      <c r="H1308" s="1392"/>
      <c r="I1308" s="1392"/>
    </row>
    <row r="1309" spans="1:9" ht="15">
      <c r="A1309" s="1366"/>
      <c r="B1309" s="1388"/>
      <c r="C1309" s="1373"/>
      <c r="D1309" s="1389"/>
      <c r="E1309" s="1390"/>
      <c r="F1309" s="1391"/>
      <c r="G1309" s="1391"/>
      <c r="H1309" s="1392"/>
      <c r="I1309" s="1392"/>
    </row>
    <row r="1310" spans="1:9" ht="15">
      <c r="A1310" s="1366"/>
      <c r="B1310" s="1388"/>
      <c r="C1310" s="1373"/>
      <c r="D1310" s="1389"/>
      <c r="E1310" s="1390"/>
      <c r="F1310" s="1391"/>
      <c r="G1310" s="1391"/>
      <c r="H1310" s="1392"/>
      <c r="I1310" s="1392"/>
    </row>
    <row r="1311" spans="1:9" ht="15">
      <c r="A1311" s="1366"/>
      <c r="B1311" s="1388"/>
      <c r="C1311" s="1373"/>
      <c r="D1311" s="1389"/>
      <c r="E1311" s="1390"/>
      <c r="F1311" s="1391"/>
      <c r="G1311" s="1391"/>
      <c r="H1311" s="1392"/>
      <c r="I1311" s="1392"/>
    </row>
    <row r="1312" spans="1:9" ht="15">
      <c r="A1312" s="1366"/>
      <c r="B1312" s="1388"/>
      <c r="C1312" s="1373"/>
      <c r="D1312" s="1389"/>
      <c r="E1312" s="1390"/>
      <c r="F1312" s="1391"/>
      <c r="G1312" s="1391"/>
      <c r="H1312" s="1392"/>
      <c r="I1312" s="1392"/>
    </row>
    <row r="1313" spans="1:9" ht="15">
      <c r="A1313" s="1366"/>
      <c r="B1313" s="1388"/>
      <c r="C1313" s="1373"/>
      <c r="D1313" s="1389"/>
      <c r="E1313" s="1390"/>
      <c r="F1313" s="1391"/>
      <c r="G1313" s="1391"/>
      <c r="H1313" s="1392"/>
      <c r="I1313" s="1392"/>
    </row>
    <row r="1314" spans="1:9" ht="15">
      <c r="A1314" s="1366"/>
      <c r="B1314" s="1388"/>
      <c r="C1314" s="1373"/>
      <c r="D1314" s="1389"/>
      <c r="E1314" s="1390"/>
      <c r="F1314" s="1391"/>
      <c r="G1314" s="1391"/>
      <c r="H1314" s="1392"/>
      <c r="I1314" s="1392"/>
    </row>
    <row r="1315" spans="1:9" ht="15">
      <c r="A1315" s="1366"/>
      <c r="B1315" s="1388"/>
      <c r="C1315" s="1373"/>
      <c r="D1315" s="1389"/>
      <c r="E1315" s="1390"/>
      <c r="F1315" s="1391"/>
      <c r="G1315" s="1391"/>
      <c r="H1315" s="1392"/>
      <c r="I1315" s="1392"/>
    </row>
    <row r="1316" spans="1:9" ht="15">
      <c r="A1316" s="1366"/>
      <c r="B1316" s="1388"/>
      <c r="C1316" s="1373"/>
      <c r="D1316" s="1389"/>
      <c r="E1316" s="1390"/>
      <c r="F1316" s="1391"/>
      <c r="G1316" s="1391"/>
      <c r="H1316" s="1392"/>
      <c r="I1316" s="1392"/>
    </row>
    <row r="1317" spans="1:9" ht="15">
      <c r="A1317" s="1366"/>
      <c r="B1317" s="1388"/>
      <c r="C1317" s="1373"/>
      <c r="D1317" s="1389"/>
      <c r="E1317" s="1390"/>
      <c r="F1317" s="1391"/>
      <c r="G1317" s="1391"/>
      <c r="H1317" s="1392"/>
      <c r="I1317" s="1392"/>
    </row>
    <row r="1318" spans="1:9" ht="15">
      <c r="A1318" s="1366"/>
      <c r="B1318" s="1388"/>
      <c r="C1318" s="1373"/>
      <c r="D1318" s="1389"/>
      <c r="E1318" s="1390"/>
      <c r="F1318" s="1391"/>
      <c r="G1318" s="1391"/>
      <c r="H1318" s="1392"/>
      <c r="I1318" s="1392"/>
    </row>
    <row r="1319" spans="1:9" ht="15">
      <c r="A1319" s="1366"/>
      <c r="B1319" s="1388"/>
      <c r="C1319" s="1373"/>
      <c r="D1319" s="1389"/>
      <c r="E1319" s="1390"/>
      <c r="F1319" s="1391"/>
      <c r="G1319" s="1391"/>
      <c r="H1319" s="1392"/>
      <c r="I1319" s="1392"/>
    </row>
    <row r="1320" spans="1:9" ht="15">
      <c r="A1320" s="1366"/>
      <c r="B1320" s="1388"/>
      <c r="C1320" s="1373"/>
      <c r="D1320" s="1389"/>
      <c r="E1320" s="1390"/>
      <c r="F1320" s="1391"/>
      <c r="G1320" s="1391"/>
      <c r="H1320" s="1392"/>
      <c r="I1320" s="1392"/>
    </row>
    <row r="1321" spans="1:9" ht="15">
      <c r="A1321" s="1366"/>
      <c r="B1321" s="1388"/>
      <c r="C1321" s="1373"/>
      <c r="D1321" s="1389"/>
      <c r="E1321" s="1390"/>
      <c r="F1321" s="1391"/>
      <c r="G1321" s="1391"/>
      <c r="H1321" s="1392"/>
      <c r="I1321" s="1392"/>
    </row>
    <row r="1322" spans="1:9" ht="15">
      <c r="A1322" s="1366"/>
      <c r="B1322" s="1388"/>
      <c r="C1322" s="1373"/>
      <c r="D1322" s="1389"/>
      <c r="E1322" s="1390"/>
      <c r="F1322" s="1391"/>
      <c r="G1322" s="1391"/>
      <c r="H1322" s="1392"/>
      <c r="I1322" s="1392"/>
    </row>
    <row r="1323" spans="1:9" ht="15">
      <c r="A1323" s="1366"/>
      <c r="B1323" s="1388"/>
      <c r="C1323" s="1373"/>
      <c r="D1323" s="1389"/>
      <c r="E1323" s="1390"/>
      <c r="F1323" s="1391"/>
      <c r="G1323" s="1391"/>
      <c r="H1323" s="1392"/>
      <c r="I1323" s="1392"/>
    </row>
    <row r="1324" spans="1:9" ht="15">
      <c r="A1324" s="1366"/>
      <c r="B1324" s="1388"/>
      <c r="C1324" s="1373"/>
      <c r="D1324" s="1389"/>
      <c r="E1324" s="1390"/>
      <c r="F1324" s="1391"/>
      <c r="G1324" s="1391"/>
      <c r="H1324" s="1392"/>
      <c r="I1324" s="1392"/>
    </row>
    <row r="1325" spans="1:9" ht="15">
      <c r="A1325" s="1366"/>
      <c r="B1325" s="1388"/>
      <c r="C1325" s="1373"/>
      <c r="D1325" s="1389"/>
      <c r="E1325" s="1390"/>
      <c r="F1325" s="1391"/>
      <c r="G1325" s="1391"/>
      <c r="H1325" s="1392"/>
      <c r="I1325" s="1392"/>
    </row>
    <row r="1326" spans="1:9" ht="15">
      <c r="A1326" s="1366"/>
      <c r="B1326" s="1388"/>
      <c r="C1326" s="1373"/>
      <c r="D1326" s="1389"/>
      <c r="E1326" s="1390"/>
      <c r="F1326" s="1391"/>
      <c r="G1326" s="1391"/>
      <c r="H1326" s="1392"/>
      <c r="I1326" s="1392"/>
    </row>
    <row r="1327" spans="1:9" ht="15">
      <c r="A1327" s="1366"/>
      <c r="B1327" s="1388"/>
      <c r="C1327" s="1373"/>
      <c r="D1327" s="1389"/>
      <c r="E1327" s="1390"/>
      <c r="F1327" s="1391"/>
      <c r="G1327" s="1391"/>
      <c r="H1327" s="1392"/>
      <c r="I1327" s="1392"/>
    </row>
    <row r="1328" spans="1:9" ht="15">
      <c r="A1328" s="1366"/>
      <c r="B1328" s="1388"/>
      <c r="C1328" s="1373"/>
      <c r="D1328" s="1389"/>
      <c r="E1328" s="1390"/>
      <c r="F1328" s="1391"/>
      <c r="G1328" s="1391"/>
      <c r="H1328" s="1392"/>
      <c r="I1328" s="1392"/>
    </row>
    <row r="1329" spans="1:9" ht="15">
      <c r="A1329" s="1366"/>
      <c r="B1329" s="1388"/>
      <c r="C1329" s="1373"/>
      <c r="D1329" s="1389"/>
      <c r="E1329" s="1390"/>
      <c r="F1329" s="1391"/>
      <c r="G1329" s="1391"/>
      <c r="H1329" s="1392"/>
      <c r="I1329" s="1392"/>
    </row>
    <row r="1330" spans="1:9" ht="15">
      <c r="A1330" s="1366"/>
      <c r="B1330" s="1388"/>
      <c r="C1330" s="1373"/>
      <c r="D1330" s="1389"/>
      <c r="E1330" s="1390"/>
      <c r="F1330" s="1391"/>
      <c r="G1330" s="1391"/>
      <c r="H1330" s="1392"/>
      <c r="I1330" s="1392"/>
    </row>
    <row r="1331" spans="1:9" ht="15">
      <c r="A1331" s="1366"/>
      <c r="B1331" s="1388"/>
      <c r="C1331" s="1373"/>
      <c r="D1331" s="1389"/>
      <c r="E1331" s="1390"/>
      <c r="F1331" s="1391"/>
      <c r="G1331" s="1391"/>
      <c r="H1331" s="1392"/>
      <c r="I1331" s="1392"/>
    </row>
    <row r="1332" spans="1:9" ht="15">
      <c r="A1332" s="1366"/>
      <c r="B1332" s="1388"/>
      <c r="C1332" s="1373"/>
      <c r="D1332" s="1389"/>
      <c r="E1332" s="1390"/>
      <c r="F1332" s="1391"/>
      <c r="G1332" s="1391"/>
      <c r="H1332" s="1392"/>
      <c r="I1332" s="1392"/>
    </row>
    <row r="1333" spans="1:9" ht="15">
      <c r="A1333" s="1366"/>
      <c r="B1333" s="1388"/>
      <c r="C1333" s="1373"/>
      <c r="D1333" s="1389"/>
      <c r="E1333" s="1390"/>
      <c r="F1333" s="1391"/>
      <c r="G1333" s="1391"/>
      <c r="H1333" s="1392"/>
      <c r="I1333" s="1392"/>
    </row>
    <row r="1334" spans="1:9" ht="15">
      <c r="A1334" s="1366"/>
      <c r="B1334" s="1388"/>
      <c r="C1334" s="1373"/>
      <c r="D1334" s="1389"/>
      <c r="E1334" s="1390"/>
      <c r="F1334" s="1391"/>
      <c r="G1334" s="1391"/>
      <c r="H1334" s="1392"/>
      <c r="I1334" s="1392"/>
    </row>
    <row r="1335" spans="1:9" ht="15">
      <c r="A1335" s="1366"/>
      <c r="B1335" s="1388"/>
      <c r="C1335" s="1373"/>
      <c r="D1335" s="1389"/>
      <c r="E1335" s="1390"/>
      <c r="F1335" s="1391"/>
      <c r="G1335" s="1391"/>
      <c r="H1335" s="1392"/>
      <c r="I1335" s="1392"/>
    </row>
    <row r="1336" spans="1:9" ht="15">
      <c r="A1336" s="1366"/>
      <c r="B1336" s="1388"/>
      <c r="C1336" s="1373"/>
      <c r="D1336" s="1389"/>
      <c r="E1336" s="1390"/>
      <c r="F1336" s="1391"/>
      <c r="G1336" s="1391"/>
      <c r="H1336" s="1392"/>
      <c r="I1336" s="1392"/>
    </row>
    <row r="1337" spans="1:9" ht="15">
      <c r="A1337" s="1366"/>
      <c r="B1337" s="1388"/>
      <c r="C1337" s="1373"/>
      <c r="D1337" s="1389"/>
      <c r="E1337" s="1390"/>
      <c r="F1337" s="1391"/>
      <c r="G1337" s="1391"/>
      <c r="H1337" s="1392"/>
      <c r="I1337" s="1392"/>
    </row>
    <row r="1338" spans="1:9" ht="15">
      <c r="A1338" s="1366"/>
      <c r="B1338" s="1388"/>
      <c r="C1338" s="1373"/>
      <c r="D1338" s="1389"/>
      <c r="E1338" s="1390"/>
      <c r="F1338" s="1391"/>
      <c r="G1338" s="1391"/>
      <c r="H1338" s="1392"/>
      <c r="I1338" s="1392"/>
    </row>
    <row r="1339" spans="1:9" ht="15">
      <c r="A1339" s="1366"/>
      <c r="B1339" s="1388"/>
      <c r="C1339" s="1373"/>
      <c r="D1339" s="1389"/>
      <c r="E1339" s="1390"/>
      <c r="F1339" s="1391"/>
      <c r="G1339" s="1391"/>
      <c r="H1339" s="1392"/>
      <c r="I1339" s="1392"/>
    </row>
    <row r="1340" spans="1:9" ht="15">
      <c r="A1340" s="1366"/>
      <c r="B1340" s="1388"/>
      <c r="C1340" s="1373"/>
      <c r="D1340" s="1389"/>
      <c r="E1340" s="1390"/>
      <c r="F1340" s="1391"/>
      <c r="G1340" s="1391"/>
      <c r="H1340" s="1392"/>
      <c r="I1340" s="1392"/>
    </row>
    <row r="1341" spans="1:9" ht="15">
      <c r="A1341" s="1366"/>
      <c r="B1341" s="1388"/>
      <c r="C1341" s="1373"/>
      <c r="D1341" s="1389"/>
      <c r="E1341" s="1390"/>
      <c r="F1341" s="1391"/>
      <c r="G1341" s="1391"/>
      <c r="H1341" s="1392"/>
      <c r="I1341" s="1392"/>
    </row>
    <row r="1342" spans="1:9" ht="15">
      <c r="A1342" s="1366"/>
      <c r="B1342" s="1388"/>
      <c r="C1342" s="1373"/>
      <c r="D1342" s="1389"/>
      <c r="E1342" s="1390"/>
      <c r="F1342" s="1391"/>
      <c r="G1342" s="1391"/>
      <c r="H1342" s="1392"/>
      <c r="I1342" s="1392"/>
    </row>
    <row r="1343" spans="1:9" ht="15">
      <c r="A1343" s="1366"/>
      <c r="B1343" s="1388"/>
      <c r="C1343" s="1373"/>
      <c r="D1343" s="1389"/>
      <c r="E1343" s="1390"/>
      <c r="F1343" s="1391"/>
      <c r="G1343" s="1391"/>
      <c r="H1343" s="1392"/>
      <c r="I1343" s="1392"/>
    </row>
    <row r="1344" spans="1:9" ht="15">
      <c r="A1344" s="1366"/>
      <c r="B1344" s="1388"/>
      <c r="C1344" s="1373"/>
      <c r="D1344" s="1389"/>
      <c r="E1344" s="1390"/>
      <c r="F1344" s="1391"/>
      <c r="G1344" s="1391"/>
      <c r="H1344" s="1392"/>
      <c r="I1344" s="1392"/>
    </row>
    <row r="1345" spans="1:9" ht="15">
      <c r="A1345" s="1366"/>
      <c r="B1345" s="1388"/>
      <c r="C1345" s="1373"/>
      <c r="D1345" s="1389"/>
      <c r="E1345" s="1390"/>
      <c r="F1345" s="1391"/>
      <c r="G1345" s="1391"/>
      <c r="H1345" s="1392"/>
      <c r="I1345" s="1392"/>
    </row>
    <row r="1346" spans="1:9" ht="15">
      <c r="A1346" s="1366"/>
      <c r="B1346" s="1388"/>
      <c r="C1346" s="1373"/>
      <c r="D1346" s="1389"/>
      <c r="E1346" s="1390"/>
      <c r="F1346" s="1391"/>
      <c r="G1346" s="1391"/>
      <c r="H1346" s="1392"/>
      <c r="I1346" s="1392"/>
    </row>
    <row r="1347" spans="1:9" ht="15">
      <c r="A1347" s="1366"/>
      <c r="B1347" s="1388"/>
      <c r="C1347" s="1373"/>
      <c r="D1347" s="1389"/>
      <c r="E1347" s="1390"/>
      <c r="F1347" s="1391"/>
      <c r="G1347" s="1391"/>
      <c r="H1347" s="1392"/>
      <c r="I1347" s="1392"/>
    </row>
    <row r="1348" spans="1:9" ht="15">
      <c r="A1348" s="1366"/>
      <c r="B1348" s="1388"/>
      <c r="C1348" s="1373"/>
      <c r="D1348" s="1389"/>
      <c r="E1348" s="1390"/>
      <c r="F1348" s="1391"/>
      <c r="G1348" s="1391"/>
      <c r="H1348" s="1392"/>
      <c r="I1348" s="1392"/>
    </row>
    <row r="1349" spans="1:9" ht="15">
      <c r="A1349" s="1366"/>
      <c r="B1349" s="1388"/>
      <c r="C1349" s="1373"/>
      <c r="D1349" s="1389"/>
      <c r="E1349" s="1390"/>
      <c r="F1349" s="1391"/>
      <c r="G1349" s="1391"/>
      <c r="H1349" s="1392"/>
      <c r="I1349" s="1392"/>
    </row>
    <row r="1350" spans="1:9" ht="15">
      <c r="A1350" s="1366"/>
      <c r="B1350" s="1388"/>
      <c r="C1350" s="1373"/>
      <c r="D1350" s="1389"/>
      <c r="E1350" s="1390"/>
      <c r="F1350" s="1391"/>
      <c r="G1350" s="1391"/>
      <c r="H1350" s="1392"/>
      <c r="I1350" s="1392"/>
    </row>
    <row r="1351" spans="1:9" ht="15">
      <c r="A1351" s="1366"/>
      <c r="B1351" s="1388"/>
      <c r="C1351" s="1373"/>
      <c r="D1351" s="1389"/>
      <c r="E1351" s="1390"/>
      <c r="F1351" s="1391"/>
      <c r="G1351" s="1391"/>
      <c r="H1351" s="1392"/>
      <c r="I1351" s="1392"/>
    </row>
    <row r="1352" spans="1:9" ht="15">
      <c r="A1352" s="1366"/>
      <c r="B1352" s="1388"/>
      <c r="C1352" s="1373"/>
      <c r="D1352" s="1389"/>
      <c r="E1352" s="1390"/>
      <c r="F1352" s="1391"/>
      <c r="G1352" s="1391"/>
      <c r="H1352" s="1392"/>
      <c r="I1352" s="1392"/>
    </row>
    <row r="1353" spans="1:9" ht="15">
      <c r="A1353" s="1366"/>
      <c r="B1353" s="1388"/>
      <c r="C1353" s="1373"/>
      <c r="D1353" s="1389"/>
      <c r="E1353" s="1390"/>
      <c r="F1353" s="1391"/>
      <c r="G1353" s="1391"/>
      <c r="H1353" s="1392"/>
      <c r="I1353" s="1392"/>
    </row>
    <row r="1354" spans="1:9" ht="15">
      <c r="A1354" s="1366"/>
      <c r="B1354" s="1388"/>
      <c r="C1354" s="1373"/>
      <c r="D1354" s="1389"/>
      <c r="E1354" s="1390"/>
      <c r="F1354" s="1391"/>
      <c r="G1354" s="1391"/>
      <c r="H1354" s="1392"/>
      <c r="I1354" s="1392"/>
    </row>
    <row r="1355" spans="1:9" ht="15">
      <c r="A1355" s="1366"/>
      <c r="B1355" s="1388"/>
      <c r="C1355" s="1373"/>
      <c r="D1355" s="1389"/>
      <c r="E1355" s="1390"/>
      <c r="F1355" s="1391"/>
      <c r="G1355" s="1391"/>
      <c r="H1355" s="1392"/>
      <c r="I1355" s="1392"/>
    </row>
    <row r="1356" spans="1:9" ht="15">
      <c r="A1356" s="1366"/>
      <c r="B1356" s="1388"/>
      <c r="C1356" s="1373"/>
      <c r="D1356" s="1389"/>
      <c r="E1356" s="1390"/>
      <c r="F1356" s="1391"/>
      <c r="G1356" s="1391"/>
      <c r="H1356" s="1392"/>
      <c r="I1356" s="1392"/>
    </row>
    <row r="1357" spans="1:9" ht="15">
      <c r="A1357" s="1366"/>
      <c r="B1357" s="1388"/>
      <c r="C1357" s="1373"/>
      <c r="D1357" s="1389"/>
      <c r="E1357" s="1390"/>
      <c r="F1357" s="1391"/>
      <c r="G1357" s="1391"/>
      <c r="H1357" s="1392"/>
      <c r="I1357" s="1392"/>
    </row>
    <row r="1358" spans="1:9" ht="15">
      <c r="A1358" s="1366"/>
      <c r="B1358" s="1388"/>
      <c r="C1358" s="1373"/>
      <c r="D1358" s="1389"/>
      <c r="E1358" s="1390"/>
      <c r="F1358" s="1391"/>
      <c r="G1358" s="1391"/>
      <c r="H1358" s="1392"/>
      <c r="I1358" s="1392"/>
    </row>
    <row r="1359" spans="1:9" ht="15">
      <c r="A1359" s="1366"/>
      <c r="B1359" s="1388"/>
      <c r="C1359" s="1373"/>
      <c r="D1359" s="1389"/>
      <c r="E1359" s="1390"/>
      <c r="F1359" s="1391"/>
      <c r="G1359" s="1391"/>
      <c r="H1359" s="1392"/>
      <c r="I1359" s="1392"/>
    </row>
    <row r="1360" spans="1:9" ht="15">
      <c r="A1360" s="1366"/>
      <c r="B1360" s="1388"/>
      <c r="C1360" s="1373"/>
      <c r="D1360" s="1389"/>
      <c r="E1360" s="1390"/>
      <c r="F1360" s="1391"/>
      <c r="G1360" s="1391"/>
      <c r="H1360" s="1392"/>
      <c r="I1360" s="1392"/>
    </row>
    <row r="1361" spans="1:9" ht="15">
      <c r="A1361" s="1366"/>
      <c r="B1361" s="1388"/>
      <c r="C1361" s="1373"/>
      <c r="D1361" s="1389"/>
      <c r="E1361" s="1390"/>
      <c r="F1361" s="1391"/>
      <c r="G1361" s="1391"/>
      <c r="H1361" s="1392"/>
      <c r="I1361" s="1392"/>
    </row>
    <row r="1362" spans="1:9" ht="15">
      <c r="A1362" s="1366"/>
      <c r="B1362" s="1388"/>
      <c r="C1362" s="1373"/>
      <c r="D1362" s="1389"/>
      <c r="E1362" s="1390"/>
      <c r="F1362" s="1391"/>
      <c r="G1362" s="1391"/>
      <c r="H1362" s="1392"/>
      <c r="I1362" s="1392"/>
    </row>
    <row r="1363" spans="1:9" ht="15">
      <c r="A1363" s="1366"/>
      <c r="B1363" s="1388"/>
      <c r="C1363" s="1373"/>
      <c r="D1363" s="1389"/>
      <c r="E1363" s="1390"/>
      <c r="F1363" s="1391"/>
      <c r="G1363" s="1391"/>
      <c r="H1363" s="1392"/>
      <c r="I1363" s="1392"/>
    </row>
    <row r="1364" spans="1:9" ht="15">
      <c r="A1364" s="1366"/>
      <c r="B1364" s="1388"/>
      <c r="C1364" s="1373"/>
      <c r="D1364" s="1389"/>
      <c r="E1364" s="1390"/>
      <c r="F1364" s="1391"/>
      <c r="G1364" s="1391"/>
      <c r="H1364" s="1392"/>
      <c r="I1364" s="1392"/>
    </row>
    <row r="1365" spans="1:9" ht="15">
      <c r="A1365" s="1366"/>
      <c r="B1365" s="1388"/>
      <c r="C1365" s="1373"/>
      <c r="D1365" s="1389"/>
      <c r="E1365" s="1390"/>
      <c r="F1365" s="1391"/>
      <c r="G1365" s="1391"/>
      <c r="H1365" s="1392"/>
      <c r="I1365" s="1392"/>
    </row>
    <row r="1366" spans="1:9" ht="15">
      <c r="A1366" s="1366"/>
      <c r="B1366" s="1388"/>
      <c r="C1366" s="1373"/>
      <c r="D1366" s="1389"/>
      <c r="E1366" s="1390"/>
      <c r="F1366" s="1391"/>
      <c r="G1366" s="1391"/>
      <c r="H1366" s="1392"/>
      <c r="I1366" s="1392"/>
    </row>
    <row r="1367" spans="1:9" ht="15">
      <c r="A1367" s="1366"/>
      <c r="B1367" s="1388"/>
      <c r="C1367" s="1373"/>
      <c r="D1367" s="1389"/>
      <c r="E1367" s="1390"/>
      <c r="F1367" s="1391"/>
      <c r="G1367" s="1391"/>
      <c r="H1367" s="1392"/>
      <c r="I1367" s="1392"/>
    </row>
    <row r="1368" spans="1:9" ht="15">
      <c r="A1368" s="1366"/>
      <c r="B1368" s="1388"/>
      <c r="C1368" s="1373"/>
      <c r="D1368" s="1389"/>
      <c r="E1368" s="1390"/>
      <c r="F1368" s="1391"/>
      <c r="G1368" s="1391"/>
      <c r="H1368" s="1392"/>
      <c r="I1368" s="1392"/>
    </row>
    <row r="1369" spans="1:9" ht="15">
      <c r="A1369" s="1366"/>
      <c r="B1369" s="1388"/>
      <c r="C1369" s="1373"/>
      <c r="D1369" s="1389"/>
      <c r="E1369" s="1390"/>
      <c r="F1369" s="1391"/>
      <c r="G1369" s="1391"/>
      <c r="H1369" s="1392"/>
      <c r="I1369" s="1392"/>
    </row>
    <row r="1370" spans="1:9" ht="15">
      <c r="A1370" s="1366"/>
      <c r="B1370" s="1388"/>
      <c r="C1370" s="1373"/>
      <c r="D1370" s="1389"/>
      <c r="E1370" s="1390"/>
      <c r="F1370" s="1391"/>
      <c r="G1370" s="1391"/>
      <c r="H1370" s="1392"/>
      <c r="I1370" s="1392"/>
    </row>
    <row r="1371" spans="1:9" ht="15">
      <c r="A1371" s="1366"/>
      <c r="B1371" s="1388"/>
      <c r="C1371" s="1373"/>
      <c r="D1371" s="1389"/>
      <c r="E1371" s="1390"/>
      <c r="F1371" s="1391"/>
      <c r="G1371" s="1391"/>
      <c r="H1371" s="1392"/>
      <c r="I1371" s="1392"/>
    </row>
    <row r="1372" spans="1:9" ht="15">
      <c r="A1372" s="1366"/>
      <c r="B1372" s="1388"/>
      <c r="C1372" s="1373"/>
      <c r="D1372" s="1389"/>
      <c r="E1372" s="1390"/>
      <c r="F1372" s="1391"/>
      <c r="G1372" s="1391"/>
      <c r="H1372" s="1392"/>
      <c r="I1372" s="1392"/>
    </row>
    <row r="1373" spans="1:9" ht="15">
      <c r="A1373" s="1366"/>
      <c r="B1373" s="1388"/>
      <c r="C1373" s="1373"/>
      <c r="D1373" s="1389"/>
      <c r="E1373" s="1390"/>
      <c r="F1373" s="1391"/>
      <c r="G1373" s="1391"/>
      <c r="H1373" s="1392"/>
      <c r="I1373" s="1392"/>
    </row>
    <row r="1374" spans="1:9" ht="15">
      <c r="A1374" s="1366"/>
      <c r="B1374" s="1388"/>
      <c r="C1374" s="1373"/>
      <c r="D1374" s="1389"/>
      <c r="E1374" s="1390"/>
      <c r="F1374" s="1391"/>
      <c r="G1374" s="1391"/>
      <c r="H1374" s="1392"/>
      <c r="I1374" s="1392"/>
    </row>
    <row r="1375" spans="1:9" ht="15">
      <c r="A1375" s="1366"/>
      <c r="B1375" s="1388"/>
      <c r="C1375" s="1373"/>
      <c r="D1375" s="1389"/>
      <c r="E1375" s="1390"/>
      <c r="F1375" s="1391"/>
      <c r="G1375" s="1391"/>
      <c r="H1375" s="1392"/>
      <c r="I1375" s="1392"/>
    </row>
    <row r="1376" spans="1:9" ht="15">
      <c r="A1376" s="1366"/>
      <c r="B1376" s="1388"/>
      <c r="C1376" s="1373"/>
      <c r="D1376" s="1389"/>
      <c r="E1376" s="1390"/>
      <c r="F1376" s="1391"/>
      <c r="G1376" s="1391"/>
      <c r="H1376" s="1392"/>
      <c r="I1376" s="1392"/>
    </row>
    <row r="1377" spans="1:9" ht="15">
      <c r="A1377" s="1366"/>
      <c r="B1377" s="1388"/>
      <c r="C1377" s="1373"/>
      <c r="D1377" s="1389"/>
      <c r="E1377" s="1390"/>
      <c r="F1377" s="1391"/>
      <c r="G1377" s="1391"/>
      <c r="H1377" s="1392"/>
      <c r="I1377" s="1392"/>
    </row>
    <row r="1378" spans="1:9" ht="15">
      <c r="A1378" s="1366"/>
      <c r="B1378" s="1388"/>
      <c r="C1378" s="1373"/>
      <c r="D1378" s="1389"/>
      <c r="E1378" s="1390"/>
      <c r="F1378" s="1391"/>
      <c r="G1378" s="1391"/>
      <c r="H1378" s="1392"/>
      <c r="I1378" s="1392"/>
    </row>
    <row r="1379" spans="1:9" ht="15">
      <c r="A1379" s="1366"/>
      <c r="B1379" s="1388"/>
      <c r="C1379" s="1373"/>
      <c r="D1379" s="1389"/>
      <c r="E1379" s="1390"/>
      <c r="F1379" s="1391"/>
      <c r="G1379" s="1391"/>
      <c r="H1379" s="1392"/>
      <c r="I1379" s="1392"/>
    </row>
    <row r="1380" spans="1:9" ht="15">
      <c r="A1380" s="1366"/>
      <c r="B1380" s="1388"/>
      <c r="C1380" s="1373"/>
      <c r="D1380" s="1389"/>
      <c r="E1380" s="1390"/>
      <c r="F1380" s="1391"/>
      <c r="G1380" s="1391"/>
      <c r="H1380" s="1392"/>
      <c r="I1380" s="1392"/>
    </row>
    <row r="1381" spans="1:9" ht="15">
      <c r="A1381" s="1366"/>
      <c r="B1381" s="1388"/>
      <c r="C1381" s="1373"/>
      <c r="D1381" s="1389"/>
      <c r="E1381" s="1390"/>
      <c r="F1381" s="1391"/>
      <c r="G1381" s="1391"/>
      <c r="H1381" s="1392"/>
      <c r="I1381" s="1392"/>
    </row>
    <row r="1382" spans="1:9" ht="15">
      <c r="A1382" s="1366"/>
      <c r="B1382" s="1388"/>
      <c r="C1382" s="1373"/>
      <c r="D1382" s="1389"/>
      <c r="E1382" s="1390"/>
      <c r="F1382" s="1391"/>
      <c r="G1382" s="1391"/>
      <c r="H1382" s="1392"/>
      <c r="I1382" s="1392"/>
    </row>
    <row r="1383" spans="1:9" ht="15">
      <c r="A1383" s="1366"/>
      <c r="B1383" s="1388"/>
      <c r="C1383" s="1373"/>
      <c r="D1383" s="1389"/>
      <c r="E1383" s="1390"/>
      <c r="F1383" s="1391"/>
      <c r="G1383" s="1391"/>
      <c r="H1383" s="1392"/>
      <c r="I1383" s="1392"/>
    </row>
    <row r="1384" spans="1:9" ht="15">
      <c r="A1384" s="1366"/>
      <c r="B1384" s="1388"/>
      <c r="C1384" s="1373"/>
      <c r="D1384" s="1389"/>
      <c r="E1384" s="1390"/>
      <c r="F1384" s="1391"/>
      <c r="G1384" s="1391"/>
      <c r="H1384" s="1392"/>
      <c r="I1384" s="1392"/>
    </row>
    <row r="1385" spans="1:9" ht="15">
      <c r="A1385" s="1366"/>
      <c r="B1385" s="1388"/>
      <c r="C1385" s="1373"/>
      <c r="D1385" s="1389"/>
      <c r="E1385" s="1390"/>
      <c r="F1385" s="1391"/>
      <c r="G1385" s="1391"/>
      <c r="H1385" s="1392"/>
      <c r="I1385" s="1392"/>
    </row>
    <row r="1386" spans="1:9" ht="15">
      <c r="A1386" s="1366"/>
      <c r="B1386" s="1388"/>
      <c r="C1386" s="1373"/>
      <c r="D1386" s="1389"/>
      <c r="E1386" s="1390"/>
      <c r="F1386" s="1391"/>
      <c r="G1386" s="1391"/>
      <c r="H1386" s="1392"/>
      <c r="I1386" s="1392"/>
    </row>
    <row r="1387" spans="1:9" ht="15">
      <c r="A1387" s="1366"/>
      <c r="B1387" s="1388"/>
      <c r="C1387" s="1373"/>
      <c r="D1387" s="1389"/>
      <c r="E1387" s="1390"/>
      <c r="F1387" s="1391"/>
      <c r="G1387" s="1391"/>
      <c r="H1387" s="1392"/>
      <c r="I1387" s="1392"/>
    </row>
    <row r="1388" spans="1:9" ht="15">
      <c r="A1388" s="1366"/>
      <c r="B1388" s="1388"/>
      <c r="C1388" s="1373"/>
      <c r="D1388" s="1389"/>
      <c r="E1388" s="1390"/>
      <c r="F1388" s="1391"/>
      <c r="G1388" s="1391"/>
      <c r="H1388" s="1392"/>
      <c r="I1388" s="1392"/>
    </row>
    <row r="1389" spans="1:9" ht="15">
      <c r="A1389" s="1366"/>
      <c r="B1389" s="1388"/>
      <c r="C1389" s="1373"/>
      <c r="D1389" s="1389"/>
      <c r="E1389" s="1390"/>
      <c r="F1389" s="1391"/>
      <c r="G1389" s="1391"/>
      <c r="H1389" s="1392"/>
      <c r="I1389" s="1392"/>
    </row>
    <row r="1390" spans="1:9" ht="15">
      <c r="A1390" s="1366"/>
      <c r="B1390" s="1388"/>
      <c r="C1390" s="1373"/>
      <c r="D1390" s="1389"/>
      <c r="E1390" s="1390"/>
      <c r="F1390" s="1391"/>
      <c r="G1390" s="1391"/>
      <c r="H1390" s="1392"/>
      <c r="I1390" s="1392"/>
    </row>
    <row r="1391" spans="1:9" ht="15">
      <c r="A1391" s="1366"/>
      <c r="B1391" s="1388"/>
      <c r="C1391" s="1373"/>
      <c r="D1391" s="1389"/>
      <c r="E1391" s="1390"/>
      <c r="F1391" s="1391"/>
      <c r="G1391" s="1391"/>
      <c r="H1391" s="1392"/>
      <c r="I1391" s="1392"/>
    </row>
    <row r="1392" spans="1:9" ht="15">
      <c r="A1392" s="1366"/>
      <c r="B1392" s="1388"/>
      <c r="C1392" s="1373"/>
      <c r="D1392" s="1389"/>
      <c r="E1392" s="1390"/>
      <c r="F1392" s="1391"/>
      <c r="G1392" s="1391"/>
      <c r="H1392" s="1392"/>
      <c r="I1392" s="1392"/>
    </row>
    <row r="1393" spans="1:9" ht="15">
      <c r="A1393" s="1366"/>
      <c r="B1393" s="1388"/>
      <c r="C1393" s="1373"/>
      <c r="D1393" s="1389"/>
      <c r="E1393" s="1390"/>
      <c r="F1393" s="1391"/>
      <c r="G1393" s="1391"/>
      <c r="H1393" s="1392"/>
      <c r="I1393" s="1392"/>
    </row>
    <row r="1394" spans="1:9" ht="15">
      <c r="A1394" s="1366"/>
      <c r="B1394" s="1388"/>
      <c r="C1394" s="1373"/>
      <c r="D1394" s="1389"/>
      <c r="E1394" s="1390"/>
      <c r="F1394" s="1391"/>
      <c r="G1394" s="1391"/>
      <c r="H1394" s="1392"/>
      <c r="I1394" s="1392"/>
    </row>
    <row r="1395" spans="1:9" ht="15">
      <c r="A1395" s="1366"/>
      <c r="B1395" s="1388"/>
      <c r="C1395" s="1373"/>
      <c r="D1395" s="1389"/>
      <c r="E1395" s="1390"/>
      <c r="F1395" s="1391"/>
      <c r="G1395" s="1391"/>
      <c r="H1395" s="1392"/>
      <c r="I1395" s="1392"/>
    </row>
    <row r="1396" spans="1:9" ht="15">
      <c r="A1396" s="1366"/>
      <c r="B1396" s="1388"/>
      <c r="C1396" s="1373"/>
      <c r="D1396" s="1389"/>
      <c r="E1396" s="1390"/>
      <c r="F1396" s="1391"/>
      <c r="G1396" s="1391"/>
      <c r="H1396" s="1392"/>
      <c r="I1396" s="1392"/>
    </row>
    <row r="1397" spans="1:9" ht="15">
      <c r="A1397" s="1366"/>
      <c r="B1397" s="1388"/>
      <c r="C1397" s="1373"/>
      <c r="D1397" s="1389"/>
      <c r="E1397" s="1390"/>
      <c r="F1397" s="1391"/>
      <c r="G1397" s="1391"/>
      <c r="H1397" s="1392"/>
      <c r="I1397" s="1392"/>
    </row>
    <row r="1398" spans="1:9" ht="15">
      <c r="A1398" s="1366"/>
      <c r="B1398" s="1388"/>
      <c r="C1398" s="1373"/>
      <c r="D1398" s="1389"/>
      <c r="E1398" s="1390"/>
      <c r="F1398" s="1391"/>
      <c r="G1398" s="1391"/>
      <c r="H1398" s="1392"/>
      <c r="I1398" s="1392"/>
    </row>
    <row r="1399" spans="1:9" ht="15">
      <c r="A1399" s="1366"/>
      <c r="B1399" s="1388"/>
      <c r="C1399" s="1373"/>
      <c r="D1399" s="1389"/>
      <c r="E1399" s="1390"/>
      <c r="F1399" s="1391"/>
      <c r="G1399" s="1391"/>
      <c r="H1399" s="1392"/>
      <c r="I1399" s="1392"/>
    </row>
    <row r="1400" spans="1:9" ht="15">
      <c r="A1400" s="1366"/>
      <c r="B1400" s="1388"/>
      <c r="C1400" s="1373"/>
      <c r="D1400" s="1389"/>
      <c r="E1400" s="1390"/>
      <c r="F1400" s="1391"/>
      <c r="G1400" s="1391"/>
      <c r="H1400" s="1392"/>
      <c r="I1400" s="1392"/>
    </row>
    <row r="1401" spans="1:9" ht="15">
      <c r="A1401" s="1366"/>
      <c r="B1401" s="1388"/>
      <c r="C1401" s="1373"/>
      <c r="D1401" s="1389"/>
      <c r="E1401" s="1390"/>
      <c r="F1401" s="1391"/>
      <c r="G1401" s="1391"/>
      <c r="H1401" s="1392"/>
      <c r="I1401" s="1392"/>
    </row>
    <row r="1402" spans="1:9" ht="15">
      <c r="A1402" s="1366"/>
      <c r="B1402" s="1388"/>
      <c r="C1402" s="1373"/>
      <c r="D1402" s="1389"/>
      <c r="E1402" s="1390"/>
      <c r="F1402" s="1391"/>
      <c r="G1402" s="1391"/>
      <c r="H1402" s="1392"/>
      <c r="I1402" s="1392"/>
    </row>
    <row r="1403" spans="1:9" ht="15">
      <c r="A1403" s="1366"/>
      <c r="B1403" s="1388"/>
      <c r="C1403" s="1373"/>
      <c r="D1403" s="1389"/>
      <c r="E1403" s="1390"/>
      <c r="F1403" s="1391"/>
      <c r="G1403" s="1391"/>
      <c r="H1403" s="1392"/>
      <c r="I1403" s="1392"/>
    </row>
    <row r="1404" spans="1:9" ht="15">
      <c r="A1404" s="1366"/>
      <c r="B1404" s="1388"/>
      <c r="C1404" s="1373"/>
      <c r="D1404" s="1389"/>
      <c r="E1404" s="1390"/>
      <c r="F1404" s="1391"/>
      <c r="G1404" s="1391"/>
      <c r="H1404" s="1392"/>
      <c r="I1404" s="1392"/>
    </row>
    <row r="1405" spans="1:9" ht="15">
      <c r="A1405" s="1366"/>
      <c r="B1405" s="1388"/>
      <c r="C1405" s="1373"/>
      <c r="D1405" s="1389"/>
      <c r="E1405" s="1390"/>
      <c r="F1405" s="1391"/>
      <c r="G1405" s="1391"/>
      <c r="H1405" s="1392"/>
      <c r="I1405" s="1392"/>
    </row>
    <row r="1406" spans="1:9" ht="15">
      <c r="A1406" s="1366"/>
      <c r="B1406" s="1388"/>
      <c r="C1406" s="1373"/>
      <c r="D1406" s="1389"/>
      <c r="E1406" s="1390"/>
      <c r="F1406" s="1391"/>
      <c r="G1406" s="1391"/>
      <c r="H1406" s="1392"/>
      <c r="I1406" s="1392"/>
    </row>
    <row r="1407" spans="1:9" ht="15">
      <c r="A1407" s="1366"/>
      <c r="B1407" s="1388"/>
      <c r="C1407" s="1373"/>
      <c r="D1407" s="1389"/>
      <c r="E1407" s="1390"/>
      <c r="F1407" s="1391"/>
      <c r="G1407" s="1391"/>
      <c r="H1407" s="1392"/>
      <c r="I1407" s="1392"/>
    </row>
    <row r="1408" spans="1:9" ht="15">
      <c r="A1408" s="1366"/>
      <c r="B1408" s="1388"/>
      <c r="C1408" s="1373"/>
      <c r="D1408" s="1389"/>
      <c r="E1408" s="1390"/>
      <c r="F1408" s="1391"/>
      <c r="G1408" s="1391"/>
      <c r="H1408" s="1392"/>
      <c r="I1408" s="1392"/>
    </row>
    <row r="1409" spans="1:9" ht="15">
      <c r="A1409" s="1366"/>
      <c r="B1409" s="1388"/>
      <c r="C1409" s="1373"/>
      <c r="D1409" s="1389"/>
      <c r="E1409" s="1390"/>
      <c r="F1409" s="1391"/>
      <c r="G1409" s="1391"/>
      <c r="H1409" s="1392"/>
      <c r="I1409" s="1392"/>
    </row>
    <row r="1410" spans="1:9" ht="15">
      <c r="A1410" s="1366"/>
      <c r="B1410" s="1388"/>
      <c r="C1410" s="1373"/>
      <c r="D1410" s="1389"/>
      <c r="E1410" s="1390"/>
      <c r="F1410" s="1391"/>
      <c r="G1410" s="1391"/>
      <c r="H1410" s="1392"/>
      <c r="I1410" s="1392"/>
    </row>
    <row r="1411" spans="1:9" ht="15">
      <c r="A1411" s="1366"/>
      <c r="B1411" s="1388"/>
      <c r="C1411" s="1373"/>
      <c r="D1411" s="1389"/>
      <c r="E1411" s="1390"/>
      <c r="F1411" s="1391"/>
      <c r="G1411" s="1391"/>
      <c r="H1411" s="1392"/>
      <c r="I1411" s="1392"/>
    </row>
    <row r="1412" spans="1:9" ht="15">
      <c r="A1412" s="1366"/>
      <c r="B1412" s="1388"/>
      <c r="C1412" s="1373"/>
      <c r="D1412" s="1389"/>
      <c r="E1412" s="1390"/>
      <c r="F1412" s="1391"/>
      <c r="G1412" s="1391"/>
      <c r="H1412" s="1392"/>
      <c r="I1412" s="1392"/>
    </row>
    <row r="1413" spans="1:9" ht="15">
      <c r="A1413" s="1366"/>
      <c r="B1413" s="1388"/>
      <c r="C1413" s="1373"/>
      <c r="D1413" s="1389"/>
      <c r="E1413" s="1390"/>
      <c r="F1413" s="1391"/>
      <c r="G1413" s="1391"/>
      <c r="H1413" s="1392"/>
      <c r="I1413" s="1392"/>
    </row>
    <row r="1414" spans="1:9" ht="15">
      <c r="A1414" s="1366"/>
      <c r="B1414" s="1388"/>
      <c r="C1414" s="1373"/>
      <c r="D1414" s="1389"/>
      <c r="E1414" s="1390"/>
      <c r="F1414" s="1391"/>
      <c r="G1414" s="1391"/>
      <c r="H1414" s="1392"/>
      <c r="I1414" s="1392"/>
    </row>
    <row r="1415" spans="1:9" ht="15">
      <c r="A1415" s="1366"/>
      <c r="B1415" s="1388"/>
      <c r="C1415" s="1373"/>
      <c r="D1415" s="1389"/>
      <c r="E1415" s="1390"/>
      <c r="F1415" s="1391"/>
      <c r="G1415" s="1391"/>
      <c r="H1415" s="1392"/>
      <c r="I1415" s="1392"/>
    </row>
    <row r="1416" spans="1:9" ht="15">
      <c r="A1416" s="1366"/>
      <c r="B1416" s="1388"/>
      <c r="C1416" s="1373"/>
      <c r="D1416" s="1389"/>
      <c r="E1416" s="1390"/>
      <c r="F1416" s="1391"/>
      <c r="G1416" s="1391"/>
      <c r="H1416" s="1392"/>
      <c r="I1416" s="1392"/>
    </row>
    <row r="1417" spans="1:9" ht="15">
      <c r="A1417" s="1366"/>
      <c r="B1417" s="1388"/>
      <c r="C1417" s="1373"/>
      <c r="D1417" s="1389"/>
      <c r="E1417" s="1390"/>
      <c r="F1417" s="1391"/>
      <c r="G1417" s="1391"/>
      <c r="H1417" s="1392"/>
      <c r="I1417" s="1392"/>
    </row>
    <row r="1418" spans="1:9" ht="15">
      <c r="A1418" s="1366"/>
      <c r="B1418" s="1388"/>
      <c r="C1418" s="1373"/>
      <c r="D1418" s="1389"/>
      <c r="E1418" s="1390"/>
      <c r="F1418" s="1391"/>
      <c r="G1418" s="1391"/>
      <c r="H1418" s="1392"/>
      <c r="I1418" s="1392"/>
    </row>
    <row r="1419" spans="1:9" ht="15">
      <c r="A1419" s="1366"/>
      <c r="B1419" s="1388"/>
      <c r="C1419" s="1373"/>
      <c r="D1419" s="1389"/>
      <c r="E1419" s="1390"/>
      <c r="F1419" s="1391"/>
      <c r="G1419" s="1391"/>
      <c r="H1419" s="1392"/>
      <c r="I1419" s="1392"/>
    </row>
    <row r="1420" spans="1:9" ht="15">
      <c r="A1420" s="1366"/>
      <c r="B1420" s="1388"/>
      <c r="C1420" s="1373"/>
      <c r="D1420" s="1389"/>
      <c r="E1420" s="1390"/>
      <c r="F1420" s="1391"/>
      <c r="G1420" s="1391"/>
      <c r="H1420" s="1392"/>
      <c r="I1420" s="1392"/>
    </row>
    <row r="1421" spans="1:9" ht="15">
      <c r="A1421" s="1366"/>
      <c r="B1421" s="1388"/>
      <c r="C1421" s="1373"/>
      <c r="D1421" s="1389"/>
      <c r="E1421" s="1390"/>
      <c r="F1421" s="1391"/>
      <c r="G1421" s="1391"/>
      <c r="H1421" s="1392"/>
      <c r="I1421" s="1392"/>
    </row>
    <row r="1422" spans="1:9" ht="15">
      <c r="A1422" s="1366"/>
      <c r="B1422" s="1388"/>
      <c r="C1422" s="1373"/>
      <c r="D1422" s="1389"/>
      <c r="E1422" s="1390"/>
      <c r="F1422" s="1391"/>
      <c r="G1422" s="1391"/>
      <c r="H1422" s="1392"/>
      <c r="I1422" s="1392"/>
    </row>
    <row r="1423" spans="1:9" ht="15">
      <c r="A1423" s="1366"/>
      <c r="B1423" s="1388"/>
      <c r="C1423" s="1373"/>
      <c r="D1423" s="1389"/>
      <c r="E1423" s="1390"/>
      <c r="F1423" s="1391"/>
      <c r="G1423" s="1391"/>
      <c r="H1423" s="1392"/>
      <c r="I1423" s="1392"/>
    </row>
    <row r="1424" spans="1:9" ht="15">
      <c r="A1424" s="1366"/>
      <c r="B1424" s="1388"/>
      <c r="C1424" s="1373"/>
      <c r="D1424" s="1389"/>
      <c r="E1424" s="1390"/>
      <c r="F1424" s="1391"/>
      <c r="G1424" s="1391"/>
      <c r="H1424" s="1392"/>
      <c r="I1424" s="1392"/>
    </row>
    <row r="1425" spans="1:9" ht="15">
      <c r="A1425" s="1366"/>
      <c r="B1425" s="1388"/>
      <c r="C1425" s="1373"/>
      <c r="D1425" s="1389"/>
      <c r="E1425" s="1390"/>
      <c r="F1425" s="1391"/>
      <c r="G1425" s="1391"/>
      <c r="H1425" s="1392"/>
      <c r="I1425" s="1392"/>
    </row>
    <row r="1426" spans="1:9" ht="15">
      <c r="A1426" s="1366"/>
      <c r="B1426" s="1388"/>
      <c r="C1426" s="1373"/>
      <c r="D1426" s="1389"/>
      <c r="E1426" s="1390"/>
      <c r="F1426" s="1391"/>
      <c r="G1426" s="1391"/>
      <c r="H1426" s="1392"/>
      <c r="I1426" s="1392"/>
    </row>
    <row r="1427" spans="1:9" ht="15">
      <c r="A1427" s="1366"/>
      <c r="B1427" s="1388"/>
      <c r="C1427" s="1373"/>
      <c r="D1427" s="1389"/>
      <c r="E1427" s="1390"/>
      <c r="F1427" s="1391"/>
      <c r="G1427" s="1391"/>
      <c r="H1427" s="1392"/>
      <c r="I1427" s="1392"/>
    </row>
    <row r="1428" spans="1:9" ht="15">
      <c r="A1428" s="1366"/>
      <c r="B1428" s="1388"/>
      <c r="C1428" s="1373"/>
      <c r="D1428" s="1389"/>
      <c r="E1428" s="1390"/>
      <c r="F1428" s="1391"/>
      <c r="G1428" s="1391"/>
      <c r="H1428" s="1392"/>
      <c r="I1428" s="1392"/>
    </row>
    <row r="1429" spans="1:9" ht="15">
      <c r="A1429" s="1366"/>
      <c r="B1429" s="1388"/>
      <c r="C1429" s="1373"/>
      <c r="D1429" s="1389"/>
      <c r="E1429" s="1390"/>
      <c r="F1429" s="1391"/>
      <c r="G1429" s="1391"/>
      <c r="H1429" s="1392"/>
      <c r="I1429" s="1392"/>
    </row>
    <row r="1430" spans="1:9" ht="15">
      <c r="A1430" s="1366"/>
      <c r="B1430" s="1388"/>
      <c r="C1430" s="1373"/>
      <c r="D1430" s="1389"/>
      <c r="E1430" s="1390"/>
      <c r="F1430" s="1391"/>
      <c r="G1430" s="1391"/>
      <c r="H1430" s="1392"/>
      <c r="I1430" s="1392"/>
    </row>
    <row r="1431" spans="1:9" ht="15">
      <c r="A1431" s="1366"/>
      <c r="B1431" s="1388"/>
      <c r="C1431" s="1373"/>
      <c r="D1431" s="1389"/>
      <c r="E1431" s="1390"/>
      <c r="F1431" s="1391"/>
      <c r="G1431" s="1391"/>
      <c r="H1431" s="1392"/>
      <c r="I1431" s="1392"/>
    </row>
    <row r="1432" spans="1:9" ht="15">
      <c r="A1432" s="1366"/>
      <c r="B1432" s="1388"/>
      <c r="C1432" s="1373"/>
      <c r="D1432" s="1389"/>
      <c r="E1432" s="1390"/>
      <c r="F1432" s="1391"/>
      <c r="G1432" s="1391"/>
      <c r="H1432" s="1392"/>
      <c r="I1432" s="1392"/>
    </row>
    <row r="1433" spans="1:9" ht="15">
      <c r="A1433" s="1366"/>
      <c r="B1433" s="1388"/>
      <c r="C1433" s="1373"/>
      <c r="D1433" s="1389"/>
      <c r="E1433" s="1390"/>
      <c r="F1433" s="1391"/>
      <c r="G1433" s="1391"/>
      <c r="H1433" s="1392"/>
      <c r="I1433" s="1392"/>
    </row>
    <row r="1434" spans="1:9" ht="15">
      <c r="A1434" s="1366"/>
      <c r="B1434" s="1388"/>
      <c r="C1434" s="1373"/>
      <c r="D1434" s="1389"/>
      <c r="E1434" s="1390"/>
      <c r="F1434" s="1391"/>
      <c r="G1434" s="1391"/>
      <c r="H1434" s="1392"/>
      <c r="I1434" s="1392"/>
    </row>
    <row r="1435" spans="1:9" ht="15">
      <c r="A1435" s="1366"/>
      <c r="B1435" s="1388"/>
      <c r="C1435" s="1373"/>
      <c r="D1435" s="1389"/>
      <c r="E1435" s="1390"/>
      <c r="F1435" s="1391"/>
      <c r="G1435" s="1391"/>
      <c r="H1435" s="1392"/>
      <c r="I1435" s="1392"/>
    </row>
    <row r="1436" spans="1:9" ht="15">
      <c r="A1436" s="1366"/>
      <c r="B1436" s="1388"/>
      <c r="C1436" s="1373"/>
      <c r="D1436" s="1389"/>
      <c r="E1436" s="1390"/>
      <c r="F1436" s="1391"/>
      <c r="G1436" s="1391"/>
      <c r="H1436" s="1392"/>
      <c r="I1436" s="1392"/>
    </row>
    <row r="1437" spans="1:9" ht="15">
      <c r="A1437" s="1366"/>
      <c r="B1437" s="1388"/>
      <c r="C1437" s="1373"/>
      <c r="D1437" s="1389"/>
      <c r="E1437" s="1390"/>
      <c r="F1437" s="1391"/>
      <c r="G1437" s="1391"/>
      <c r="H1437" s="1392"/>
      <c r="I1437" s="1392"/>
    </row>
    <row r="1438" spans="1:9" ht="15">
      <c r="A1438" s="1366"/>
      <c r="B1438" s="1388"/>
      <c r="C1438" s="1373"/>
      <c r="D1438" s="1389"/>
      <c r="E1438" s="1390"/>
      <c r="F1438" s="1391"/>
      <c r="G1438" s="1391"/>
      <c r="H1438" s="1392"/>
      <c r="I1438" s="1392"/>
    </row>
    <row r="1439" spans="1:9" ht="15">
      <c r="A1439" s="1366"/>
      <c r="B1439" s="1388"/>
      <c r="C1439" s="1373"/>
      <c r="D1439" s="1389"/>
      <c r="E1439" s="1390"/>
      <c r="F1439" s="1391"/>
      <c r="G1439" s="1391"/>
      <c r="H1439" s="1392"/>
      <c r="I1439" s="1392"/>
    </row>
    <row r="1440" spans="1:9" ht="15">
      <c r="A1440" s="1366"/>
      <c r="B1440" s="1388"/>
      <c r="C1440" s="1373"/>
      <c r="D1440" s="1389"/>
      <c r="E1440" s="1390"/>
      <c r="F1440" s="1391"/>
      <c r="G1440" s="1391"/>
      <c r="H1440" s="1392"/>
      <c r="I1440" s="1392"/>
    </row>
    <row r="1441" spans="1:9" ht="15">
      <c r="A1441" s="1366"/>
      <c r="B1441" s="1388"/>
      <c r="C1441" s="1373"/>
      <c r="D1441" s="1389"/>
      <c r="E1441" s="1390"/>
      <c r="F1441" s="1391"/>
      <c r="G1441" s="1391"/>
      <c r="H1441" s="1392"/>
      <c r="I1441" s="1392"/>
    </row>
    <row r="1442" spans="1:9" ht="15">
      <c r="A1442" s="1366"/>
      <c r="B1442" s="1388"/>
      <c r="C1442" s="1373"/>
      <c r="D1442" s="1389"/>
      <c r="E1442" s="1390"/>
      <c r="F1442" s="1391"/>
      <c r="G1442" s="1391"/>
      <c r="H1442" s="1392"/>
      <c r="I1442" s="1392"/>
    </row>
    <row r="1443" spans="1:9" ht="15">
      <c r="A1443" s="1366"/>
      <c r="B1443" s="1388"/>
      <c r="C1443" s="1373"/>
      <c r="D1443" s="1389"/>
      <c r="E1443" s="1390"/>
      <c r="F1443" s="1391"/>
      <c r="G1443" s="1391"/>
      <c r="H1443" s="1392"/>
      <c r="I1443" s="1392"/>
    </row>
    <row r="1444" spans="1:9" ht="15">
      <c r="A1444" s="1366"/>
      <c r="B1444" s="1388"/>
      <c r="C1444" s="1373"/>
      <c r="D1444" s="1389"/>
      <c r="E1444" s="1390"/>
      <c r="F1444" s="1391"/>
      <c r="G1444" s="1391"/>
      <c r="H1444" s="1392"/>
      <c r="I1444" s="1392"/>
    </row>
    <row r="1445" spans="1:9" ht="15">
      <c r="A1445" s="1366"/>
      <c r="B1445" s="1388"/>
      <c r="C1445" s="1373"/>
      <c r="D1445" s="1389"/>
      <c r="E1445" s="1390"/>
      <c r="F1445" s="1391"/>
      <c r="G1445" s="1391"/>
      <c r="H1445" s="1392"/>
      <c r="I1445" s="1392"/>
    </row>
    <row r="1446" spans="1:9" ht="15">
      <c r="A1446" s="1366"/>
      <c r="B1446" s="1388"/>
      <c r="C1446" s="1373"/>
      <c r="D1446" s="1389"/>
      <c r="E1446" s="1390"/>
      <c r="F1446" s="1391"/>
      <c r="G1446" s="1391"/>
      <c r="H1446" s="1392"/>
      <c r="I1446" s="1392"/>
    </row>
    <row r="1447" spans="1:9" ht="15">
      <c r="A1447" s="1366"/>
      <c r="B1447" s="1388"/>
      <c r="C1447" s="1373"/>
      <c r="D1447" s="1389"/>
      <c r="E1447" s="1390"/>
      <c r="F1447" s="1391"/>
      <c r="G1447" s="1391"/>
      <c r="H1447" s="1392"/>
      <c r="I1447" s="1392"/>
    </row>
    <row r="1448" spans="1:9" ht="15">
      <c r="A1448" s="1366"/>
      <c r="B1448" s="1388"/>
      <c r="C1448" s="1373"/>
      <c r="D1448" s="1389"/>
      <c r="E1448" s="1390"/>
      <c r="F1448" s="1391"/>
      <c r="G1448" s="1391"/>
      <c r="H1448" s="1392"/>
      <c r="I1448" s="1392"/>
    </row>
    <row r="1449" spans="1:9" ht="15">
      <c r="A1449" s="1366"/>
      <c r="B1449" s="1388"/>
      <c r="C1449" s="1373"/>
      <c r="D1449" s="1389"/>
      <c r="E1449" s="1390"/>
      <c r="F1449" s="1391"/>
      <c r="G1449" s="1391"/>
      <c r="H1449" s="1392"/>
      <c r="I1449" s="1392"/>
    </row>
    <row r="1450" spans="1:9" ht="15">
      <c r="A1450" s="1366"/>
      <c r="B1450" s="1388"/>
      <c r="C1450" s="1373"/>
      <c r="D1450" s="1389"/>
      <c r="E1450" s="1390"/>
      <c r="F1450" s="1391"/>
      <c r="G1450" s="1391"/>
      <c r="H1450" s="1392"/>
      <c r="I1450" s="1392"/>
    </row>
    <row r="1451" spans="1:9" ht="15">
      <c r="A1451" s="1366"/>
      <c r="B1451" s="1388"/>
      <c r="C1451" s="1373"/>
      <c r="D1451" s="1389"/>
      <c r="E1451" s="1390"/>
      <c r="F1451" s="1391"/>
      <c r="G1451" s="1391"/>
      <c r="H1451" s="1392"/>
      <c r="I1451" s="1392"/>
    </row>
    <row r="1452" spans="1:9" ht="15">
      <c r="A1452" s="1366"/>
      <c r="B1452" s="1388"/>
      <c r="C1452" s="1373"/>
      <c r="D1452" s="1389"/>
      <c r="E1452" s="1390"/>
      <c r="F1452" s="1391"/>
      <c r="G1452" s="1391"/>
      <c r="H1452" s="1392"/>
      <c r="I1452" s="1392"/>
    </row>
    <row r="1453" spans="1:9" ht="15">
      <c r="A1453" s="1366"/>
      <c r="B1453" s="1388"/>
      <c r="C1453" s="1373"/>
      <c r="D1453" s="1389"/>
      <c r="E1453" s="1390"/>
      <c r="F1453" s="1391"/>
      <c r="G1453" s="1391"/>
      <c r="H1453" s="1392"/>
      <c r="I1453" s="1392"/>
    </row>
    <row r="1454" spans="1:9" ht="15">
      <c r="A1454" s="1366"/>
      <c r="B1454" s="1388"/>
      <c r="C1454" s="1373"/>
      <c r="D1454" s="1389"/>
      <c r="E1454" s="1390"/>
      <c r="F1454" s="1391"/>
      <c r="G1454" s="1391"/>
      <c r="H1454" s="1392"/>
      <c r="I1454" s="1392"/>
    </row>
    <row r="1455" spans="1:9" ht="15">
      <c r="A1455" s="1366"/>
      <c r="B1455" s="1388"/>
      <c r="C1455" s="1373"/>
      <c r="D1455" s="1389"/>
      <c r="E1455" s="1390"/>
      <c r="F1455" s="1391"/>
      <c r="G1455" s="1391"/>
      <c r="H1455" s="1392"/>
      <c r="I1455" s="1392"/>
    </row>
    <row r="1456" spans="1:9" ht="15">
      <c r="A1456" s="1366"/>
      <c r="B1456" s="1388"/>
      <c r="C1456" s="1373"/>
      <c r="D1456" s="1389"/>
      <c r="E1456" s="1390"/>
      <c r="F1456" s="1391"/>
      <c r="G1456" s="1391"/>
      <c r="H1456" s="1392"/>
      <c r="I1456" s="1392"/>
    </row>
    <row r="1457" spans="1:9" ht="15">
      <c r="A1457" s="1366"/>
      <c r="B1457" s="1388"/>
      <c r="C1457" s="1373"/>
      <c r="D1457" s="1389"/>
      <c r="E1457" s="1390"/>
      <c r="F1457" s="1391"/>
      <c r="G1457" s="1391"/>
      <c r="H1457" s="1392"/>
      <c r="I1457" s="1392"/>
    </row>
    <row r="1458" spans="1:9" ht="15">
      <c r="A1458" s="1366"/>
      <c r="B1458" s="1388"/>
      <c r="C1458" s="1373"/>
      <c r="D1458" s="1389"/>
      <c r="E1458" s="1390"/>
      <c r="F1458" s="1391"/>
      <c r="G1458" s="1391"/>
      <c r="H1458" s="1392"/>
      <c r="I1458" s="1392"/>
    </row>
    <row r="1459" spans="1:9" ht="15">
      <c r="A1459" s="1366"/>
      <c r="B1459" s="1388"/>
      <c r="C1459" s="1373"/>
      <c r="D1459" s="1389"/>
      <c r="E1459" s="1390"/>
      <c r="F1459" s="1391"/>
      <c r="G1459" s="1391"/>
      <c r="H1459" s="1392"/>
      <c r="I1459" s="1392"/>
    </row>
    <row r="1460" spans="1:9" ht="15">
      <c r="A1460" s="1366"/>
      <c r="B1460" s="1388"/>
      <c r="C1460" s="1373"/>
      <c r="D1460" s="1389"/>
      <c r="E1460" s="1390"/>
      <c r="F1460" s="1391"/>
      <c r="G1460" s="1391"/>
      <c r="H1460" s="1392"/>
      <c r="I1460" s="1392"/>
    </row>
    <row r="1461" spans="1:9" ht="15">
      <c r="A1461" s="1366"/>
      <c r="B1461" s="1388"/>
      <c r="C1461" s="1373"/>
      <c r="D1461" s="1389"/>
      <c r="E1461" s="1390"/>
      <c r="F1461" s="1391"/>
      <c r="G1461" s="1391"/>
      <c r="H1461" s="1392"/>
      <c r="I1461" s="1392"/>
    </row>
    <row r="1462" spans="1:9" ht="15">
      <c r="A1462" s="1366"/>
      <c r="B1462" s="1388"/>
      <c r="C1462" s="1373"/>
      <c r="D1462" s="1389"/>
      <c r="E1462" s="1390"/>
      <c r="F1462" s="1391"/>
      <c r="G1462" s="1391"/>
      <c r="H1462" s="1392"/>
      <c r="I1462" s="1392"/>
    </row>
    <row r="1463" spans="1:9" ht="15">
      <c r="A1463" s="1366"/>
      <c r="B1463" s="1388"/>
      <c r="C1463" s="1373"/>
      <c r="D1463" s="1389"/>
      <c r="E1463" s="1390"/>
      <c r="F1463" s="1391"/>
      <c r="G1463" s="1391"/>
      <c r="H1463" s="1392"/>
      <c r="I1463" s="1392"/>
    </row>
    <row r="1464" spans="1:9" ht="15">
      <c r="A1464" s="1366"/>
      <c r="B1464" s="1388"/>
      <c r="C1464" s="1373"/>
      <c r="D1464" s="1389"/>
      <c r="E1464" s="1390"/>
      <c r="F1464" s="1391"/>
      <c r="G1464" s="1391"/>
      <c r="H1464" s="1392"/>
      <c r="I1464" s="1392"/>
    </row>
    <row r="1465" spans="1:9" ht="15">
      <c r="A1465" s="1366"/>
      <c r="B1465" s="1388"/>
      <c r="C1465" s="1373"/>
      <c r="D1465" s="1389"/>
      <c r="E1465" s="1390"/>
      <c r="F1465" s="1391"/>
      <c r="G1465" s="1391"/>
      <c r="H1465" s="1392"/>
      <c r="I1465" s="1392"/>
    </row>
    <row r="1466" spans="1:9" ht="15">
      <c r="A1466" s="1366"/>
      <c r="B1466" s="1388"/>
      <c r="C1466" s="1373"/>
      <c r="D1466" s="1389"/>
      <c r="E1466" s="1390"/>
      <c r="F1466" s="1391"/>
      <c r="G1466" s="1391"/>
      <c r="H1466" s="1392"/>
      <c r="I1466" s="1392"/>
    </row>
    <row r="1467" spans="1:9" ht="15">
      <c r="A1467" s="1366"/>
      <c r="B1467" s="1388"/>
      <c r="C1467" s="1373"/>
      <c r="D1467" s="1389"/>
      <c r="E1467" s="1390"/>
      <c r="F1467" s="1391"/>
      <c r="G1467" s="1391"/>
      <c r="H1467" s="1392"/>
      <c r="I1467" s="1392"/>
    </row>
    <row r="1468" spans="1:9" ht="15">
      <c r="A1468" s="1366"/>
      <c r="B1468" s="1388"/>
      <c r="C1468" s="1373"/>
      <c r="D1468" s="1389"/>
      <c r="E1468" s="1390"/>
      <c r="F1468" s="1391"/>
      <c r="G1468" s="1391"/>
      <c r="H1468" s="1392"/>
      <c r="I1468" s="1392"/>
    </row>
    <row r="1469" spans="1:9" ht="15">
      <c r="A1469" s="1366"/>
      <c r="B1469" s="1388"/>
      <c r="C1469" s="1373"/>
      <c r="D1469" s="1389"/>
      <c r="E1469" s="1390"/>
      <c r="F1469" s="1391"/>
      <c r="G1469" s="1391"/>
      <c r="H1469" s="1392"/>
      <c r="I1469" s="1392"/>
    </row>
    <row r="1470" spans="1:9" ht="15">
      <c r="A1470" s="1366"/>
      <c r="B1470" s="1388"/>
      <c r="C1470" s="1373"/>
      <c r="D1470" s="1389"/>
      <c r="E1470" s="1390"/>
      <c r="F1470" s="1391"/>
      <c r="G1470" s="1391"/>
      <c r="H1470" s="1392"/>
      <c r="I1470" s="1392"/>
    </row>
    <row r="1471" spans="1:9" ht="15">
      <c r="A1471" s="1366"/>
      <c r="B1471" s="1388"/>
      <c r="C1471" s="1373"/>
      <c r="D1471" s="1389"/>
      <c r="E1471" s="1390"/>
      <c r="F1471" s="1391"/>
      <c r="G1471" s="1391"/>
      <c r="H1471" s="1392"/>
      <c r="I1471" s="1392"/>
    </row>
    <row r="1472" spans="1:9" ht="15">
      <c r="A1472" s="1366"/>
      <c r="B1472" s="1388"/>
      <c r="C1472" s="1373"/>
      <c r="D1472" s="1389"/>
      <c r="E1472" s="1390"/>
      <c r="F1472" s="1391"/>
      <c r="G1472" s="1391"/>
      <c r="H1472" s="1392"/>
      <c r="I1472" s="1392"/>
    </row>
    <row r="1473" spans="1:9" ht="15">
      <c r="A1473" s="1366"/>
      <c r="B1473" s="1388"/>
      <c r="C1473" s="1373"/>
      <c r="D1473" s="1389"/>
      <c r="E1473" s="1390"/>
      <c r="F1473" s="1391"/>
      <c r="G1473" s="1391"/>
      <c r="H1473" s="1392"/>
      <c r="I1473" s="1392"/>
    </row>
    <row r="1474" spans="1:9" ht="15">
      <c r="A1474" s="1366"/>
      <c r="B1474" s="1388"/>
      <c r="C1474" s="1373"/>
      <c r="D1474" s="1389"/>
      <c r="E1474" s="1390"/>
      <c r="F1474" s="1391"/>
      <c r="G1474" s="1391"/>
      <c r="H1474" s="1392"/>
      <c r="I1474" s="1392"/>
    </row>
    <row r="1475" spans="1:9" ht="15">
      <c r="A1475" s="1366"/>
      <c r="B1475" s="1388"/>
      <c r="C1475" s="1373"/>
      <c r="D1475" s="1389"/>
      <c r="E1475" s="1390"/>
      <c r="F1475" s="1391"/>
      <c r="G1475" s="1391"/>
      <c r="H1475" s="1392"/>
      <c r="I1475" s="1392"/>
    </row>
    <row r="1476" spans="1:9" ht="15">
      <c r="A1476" s="1366"/>
      <c r="B1476" s="1388"/>
      <c r="C1476" s="1373"/>
      <c r="D1476" s="1389"/>
      <c r="E1476" s="1390"/>
      <c r="F1476" s="1391"/>
      <c r="G1476" s="1391"/>
      <c r="H1476" s="1392"/>
      <c r="I1476" s="1392"/>
    </row>
    <row r="1477" spans="1:9" ht="15">
      <c r="A1477" s="1366"/>
      <c r="B1477" s="1388"/>
      <c r="C1477" s="1373"/>
      <c r="D1477" s="1389"/>
      <c r="E1477" s="1390"/>
      <c r="F1477" s="1391"/>
      <c r="G1477" s="1391"/>
      <c r="H1477" s="1392"/>
      <c r="I1477" s="1392"/>
    </row>
    <row r="1478" spans="1:9" ht="15">
      <c r="A1478" s="1366"/>
      <c r="B1478" s="1388"/>
      <c r="C1478" s="1373"/>
      <c r="D1478" s="1389"/>
      <c r="E1478" s="1390"/>
      <c r="F1478" s="1391"/>
      <c r="G1478" s="1391"/>
      <c r="H1478" s="1392"/>
      <c r="I1478" s="1392"/>
    </row>
    <row r="1479" spans="1:9" ht="15">
      <c r="A1479" s="1366"/>
      <c r="B1479" s="1388"/>
      <c r="C1479" s="1373"/>
      <c r="D1479" s="1389"/>
      <c r="E1479" s="1390"/>
      <c r="F1479" s="1391"/>
      <c r="G1479" s="1391"/>
      <c r="H1479" s="1392"/>
      <c r="I1479" s="1392"/>
    </row>
    <row r="1480" spans="1:9" ht="15">
      <c r="A1480" s="1366"/>
      <c r="B1480" s="1388"/>
      <c r="C1480" s="1373"/>
      <c r="D1480" s="1389"/>
      <c r="E1480" s="1390"/>
      <c r="F1480" s="1391"/>
      <c r="G1480" s="1391"/>
      <c r="H1480" s="1392"/>
      <c r="I1480" s="1392"/>
    </row>
    <row r="1481" spans="1:9" ht="15">
      <c r="A1481" s="1366"/>
      <c r="B1481" s="1388"/>
      <c r="C1481" s="1373"/>
      <c r="D1481" s="1389"/>
      <c r="E1481" s="1390"/>
      <c r="F1481" s="1391"/>
      <c r="G1481" s="1391"/>
      <c r="H1481" s="1392"/>
      <c r="I1481" s="1392"/>
    </row>
    <row r="1482" spans="1:9" ht="15">
      <c r="A1482" s="1366"/>
      <c r="B1482" s="1388"/>
      <c r="C1482" s="1373"/>
      <c r="D1482" s="1389"/>
      <c r="E1482" s="1390"/>
      <c r="F1482" s="1391"/>
      <c r="G1482" s="1391"/>
      <c r="H1482" s="1392"/>
      <c r="I1482" s="1392"/>
    </row>
    <row r="1483" spans="1:9" ht="15">
      <c r="A1483" s="1366"/>
      <c r="B1483" s="1388"/>
      <c r="C1483" s="1373"/>
      <c r="D1483" s="1389"/>
      <c r="E1483" s="1390"/>
      <c r="F1483" s="1391"/>
      <c r="G1483" s="1391"/>
      <c r="H1483" s="1392"/>
      <c r="I1483" s="1392"/>
    </row>
    <row r="1484" spans="1:9" ht="15">
      <c r="A1484" s="1366"/>
      <c r="B1484" s="1388"/>
      <c r="C1484" s="1373"/>
      <c r="D1484" s="1389"/>
      <c r="E1484" s="1390"/>
      <c r="F1484" s="1391"/>
      <c r="G1484" s="1391"/>
      <c r="H1484" s="1392"/>
      <c r="I1484" s="1392"/>
    </row>
    <row r="1485" spans="1:9" ht="15">
      <c r="A1485" s="1366"/>
      <c r="B1485" s="1388"/>
      <c r="C1485" s="1373"/>
      <c r="D1485" s="1389"/>
      <c r="E1485" s="1390"/>
      <c r="F1485" s="1391"/>
      <c r="G1485" s="1391"/>
      <c r="H1485" s="1392"/>
      <c r="I1485" s="1392"/>
    </row>
    <row r="1486" spans="1:9" ht="15">
      <c r="A1486" s="1366"/>
      <c r="B1486" s="1388"/>
      <c r="C1486" s="1373"/>
      <c r="D1486" s="1389"/>
      <c r="E1486" s="1390"/>
      <c r="F1486" s="1391"/>
      <c r="G1486" s="1391"/>
      <c r="H1486" s="1392"/>
      <c r="I1486" s="1392"/>
    </row>
    <row r="1487" spans="1:9" ht="15">
      <c r="A1487" s="1366"/>
      <c r="B1487" s="1388"/>
      <c r="C1487" s="1373"/>
      <c r="D1487" s="1389"/>
      <c r="E1487" s="1390"/>
      <c r="F1487" s="1391"/>
      <c r="G1487" s="1391"/>
      <c r="H1487" s="1392"/>
      <c r="I1487" s="1392"/>
    </row>
    <row r="1488" spans="1:9" ht="15">
      <c r="A1488" s="1366"/>
      <c r="B1488" s="1388"/>
      <c r="C1488" s="1373"/>
      <c r="D1488" s="1389"/>
      <c r="E1488" s="1390"/>
      <c r="F1488" s="1391"/>
      <c r="G1488" s="1391"/>
      <c r="H1488" s="1392"/>
      <c r="I1488" s="1392"/>
    </row>
    <row r="1489" spans="1:9" ht="15">
      <c r="A1489" s="1366"/>
      <c r="B1489" s="1388"/>
      <c r="C1489" s="1373"/>
      <c r="D1489" s="1389"/>
      <c r="E1489" s="1390"/>
      <c r="F1489" s="1391"/>
      <c r="G1489" s="1391"/>
      <c r="H1489" s="1392"/>
      <c r="I1489" s="1392"/>
    </row>
    <row r="1490" spans="1:9" ht="15">
      <c r="A1490" s="1366"/>
      <c r="B1490" s="1388"/>
      <c r="C1490" s="1373"/>
      <c r="D1490" s="1389"/>
      <c r="E1490" s="1390"/>
      <c r="F1490" s="1391"/>
      <c r="G1490" s="1391"/>
      <c r="H1490" s="1392"/>
      <c r="I1490" s="1392"/>
    </row>
    <row r="1491" spans="1:9" ht="15">
      <c r="A1491" s="1366"/>
      <c r="B1491" s="1388"/>
      <c r="C1491" s="1373"/>
      <c r="D1491" s="1389"/>
      <c r="E1491" s="1390"/>
      <c r="F1491" s="1391"/>
      <c r="G1491" s="1391"/>
      <c r="H1491" s="1392"/>
      <c r="I1491" s="1392"/>
    </row>
    <row r="1492" spans="1:9" ht="15">
      <c r="A1492" s="1366"/>
      <c r="B1492" s="1388"/>
      <c r="C1492" s="1373"/>
      <c r="D1492" s="1389"/>
      <c r="E1492" s="1390"/>
      <c r="F1492" s="1391"/>
      <c r="G1492" s="1391"/>
      <c r="H1492" s="1392"/>
      <c r="I1492" s="1392"/>
    </row>
    <row r="1493" spans="1:9" ht="15">
      <c r="A1493" s="1366"/>
      <c r="B1493" s="1388"/>
      <c r="C1493" s="1373"/>
      <c r="D1493" s="1389"/>
      <c r="E1493" s="1390"/>
      <c r="F1493" s="1391"/>
      <c r="G1493" s="1391"/>
      <c r="H1493" s="1392"/>
      <c r="I1493" s="1392"/>
    </row>
    <row r="1494" spans="1:9" ht="15">
      <c r="A1494" s="1366"/>
      <c r="B1494" s="1388"/>
      <c r="C1494" s="1373"/>
      <c r="D1494" s="1389"/>
      <c r="E1494" s="1390"/>
      <c r="F1494" s="1391"/>
      <c r="G1494" s="1391"/>
      <c r="H1494" s="1392"/>
      <c r="I1494" s="1392"/>
    </row>
    <row r="1495" spans="1:9" ht="15">
      <c r="A1495" s="1366"/>
      <c r="B1495" s="1388"/>
      <c r="C1495" s="1373"/>
      <c r="D1495" s="1389"/>
      <c r="E1495" s="1390"/>
      <c r="F1495" s="1391"/>
      <c r="G1495" s="1391"/>
      <c r="H1495" s="1392"/>
      <c r="I1495" s="1392"/>
    </row>
    <row r="1496" spans="1:9" ht="15">
      <c r="A1496" s="1366"/>
      <c r="B1496" s="1388"/>
      <c r="C1496" s="1373"/>
      <c r="D1496" s="1389"/>
      <c r="E1496" s="1390"/>
      <c r="F1496" s="1391"/>
      <c r="G1496" s="1391"/>
      <c r="H1496" s="1392"/>
      <c r="I1496" s="1392"/>
    </row>
    <row r="1497" spans="1:9" ht="15">
      <c r="A1497" s="1366"/>
      <c r="B1497" s="1388"/>
      <c r="C1497" s="1373"/>
      <c r="D1497" s="1389"/>
      <c r="E1497" s="1390"/>
      <c r="F1497" s="1391"/>
      <c r="G1497" s="1391"/>
      <c r="H1497" s="1392"/>
      <c r="I1497" s="1392"/>
    </row>
    <row r="1498" spans="1:9" ht="15">
      <c r="A1498" s="1366"/>
      <c r="B1498" s="1388"/>
      <c r="C1498" s="1373"/>
      <c r="D1498" s="1389"/>
      <c r="E1498" s="1390"/>
      <c r="F1498" s="1391"/>
      <c r="G1498" s="1391"/>
      <c r="H1498" s="1392"/>
      <c r="I1498" s="1392"/>
    </row>
    <row r="1499" spans="1:9" ht="15">
      <c r="A1499" s="1366"/>
      <c r="B1499" s="1388"/>
      <c r="C1499" s="1373"/>
      <c r="D1499" s="1389"/>
      <c r="E1499" s="1390"/>
      <c r="F1499" s="1391"/>
      <c r="G1499" s="1391"/>
      <c r="H1499" s="1392"/>
      <c r="I1499" s="1392"/>
    </row>
    <row r="1500" spans="1:9" ht="15">
      <c r="A1500" s="1366"/>
      <c r="B1500" s="1388"/>
      <c r="C1500" s="1373"/>
      <c r="D1500" s="1389"/>
      <c r="E1500" s="1390"/>
      <c r="F1500" s="1391"/>
      <c r="G1500" s="1391"/>
      <c r="H1500" s="1392"/>
      <c r="I1500" s="1392"/>
    </row>
    <row r="1501" spans="1:9" ht="15">
      <c r="A1501" s="1366"/>
      <c r="B1501" s="1388"/>
      <c r="C1501" s="1373"/>
      <c r="D1501" s="1389"/>
      <c r="E1501" s="1390"/>
      <c r="F1501" s="1391"/>
      <c r="G1501" s="1391"/>
      <c r="H1501" s="1392"/>
      <c r="I1501" s="1392"/>
    </row>
    <row r="1502" spans="1:9" ht="15">
      <c r="A1502" s="1366"/>
      <c r="B1502" s="1388"/>
      <c r="C1502" s="1373"/>
      <c r="D1502" s="1389"/>
      <c r="E1502" s="1390"/>
      <c r="F1502" s="1391"/>
      <c r="G1502" s="1391"/>
      <c r="H1502" s="1392"/>
      <c r="I1502" s="1392"/>
    </row>
    <row r="1503" spans="1:9" ht="15">
      <c r="A1503" s="1366"/>
      <c r="B1503" s="1388"/>
      <c r="C1503" s="1373"/>
      <c r="D1503" s="1389"/>
      <c r="E1503" s="1390"/>
      <c r="F1503" s="1391"/>
      <c r="G1503" s="1391"/>
      <c r="H1503" s="1392"/>
      <c r="I1503" s="1392"/>
    </row>
    <row r="1504" spans="1:9" ht="15">
      <c r="A1504" s="1366"/>
      <c r="B1504" s="1388"/>
      <c r="C1504" s="1373"/>
      <c r="D1504" s="1389"/>
      <c r="E1504" s="1390"/>
      <c r="F1504" s="1391"/>
      <c r="G1504" s="1391"/>
      <c r="H1504" s="1392"/>
      <c r="I1504" s="1392"/>
    </row>
    <row r="1505" spans="1:9" ht="15">
      <c r="A1505" s="1366"/>
      <c r="B1505" s="1388"/>
      <c r="C1505" s="1373"/>
      <c r="D1505" s="1389"/>
      <c r="E1505" s="1390"/>
      <c r="F1505" s="1391"/>
      <c r="G1505" s="1391"/>
      <c r="H1505" s="1392"/>
      <c r="I1505" s="1392"/>
    </row>
    <row r="1506" spans="1:9" ht="15">
      <c r="A1506" s="1366"/>
      <c r="B1506" s="1388"/>
      <c r="C1506" s="1373"/>
      <c r="D1506" s="1389"/>
      <c r="E1506" s="1390"/>
      <c r="F1506" s="1391"/>
      <c r="G1506" s="1391"/>
      <c r="H1506" s="1392"/>
      <c r="I1506" s="1392"/>
    </row>
    <row r="1507" spans="1:9" ht="15">
      <c r="A1507" s="1366"/>
      <c r="B1507" s="1388"/>
      <c r="C1507" s="1373"/>
      <c r="D1507" s="1389"/>
      <c r="E1507" s="1390"/>
      <c r="F1507" s="1391"/>
      <c r="G1507" s="1391"/>
      <c r="H1507" s="1392"/>
      <c r="I1507" s="1392"/>
    </row>
    <row r="1508" spans="1:9" ht="15">
      <c r="A1508" s="1366"/>
      <c r="B1508" s="1388"/>
      <c r="C1508" s="1373"/>
      <c r="D1508" s="1389"/>
      <c r="E1508" s="1390"/>
      <c r="F1508" s="1391"/>
      <c r="G1508" s="1391"/>
      <c r="H1508" s="1392"/>
      <c r="I1508" s="1392"/>
    </row>
    <row r="1509" spans="1:9" ht="15">
      <c r="A1509" s="1366"/>
      <c r="B1509" s="1388"/>
      <c r="C1509" s="1373"/>
      <c r="D1509" s="1389"/>
      <c r="E1509" s="1390"/>
      <c r="F1509" s="1391"/>
      <c r="G1509" s="1391"/>
      <c r="H1509" s="1392"/>
      <c r="I1509" s="1392"/>
    </row>
    <row r="1510" spans="1:9" ht="15">
      <c r="A1510" s="1366"/>
      <c r="B1510" s="1388"/>
      <c r="C1510" s="1373"/>
      <c r="D1510" s="1389"/>
      <c r="E1510" s="1390"/>
      <c r="F1510" s="1391"/>
      <c r="G1510" s="1391"/>
      <c r="H1510" s="1392"/>
      <c r="I1510" s="1392"/>
    </row>
    <row r="1511" spans="1:9" ht="15">
      <c r="A1511" s="1366"/>
      <c r="B1511" s="1388"/>
      <c r="C1511" s="1373"/>
      <c r="D1511" s="1389"/>
      <c r="E1511" s="1390"/>
      <c r="F1511" s="1391"/>
      <c r="G1511" s="1391"/>
      <c r="H1511" s="1392"/>
      <c r="I1511" s="1392"/>
    </row>
    <row r="1512" spans="1:9" ht="15">
      <c r="A1512" s="1366"/>
      <c r="B1512" s="1388"/>
      <c r="C1512" s="1373"/>
      <c r="D1512" s="1389"/>
      <c r="E1512" s="1390"/>
      <c r="F1512" s="1391"/>
      <c r="G1512" s="1391"/>
      <c r="H1512" s="1392"/>
      <c r="I1512" s="1392"/>
    </row>
    <row r="1513" spans="1:9" ht="15">
      <c r="A1513" s="1366"/>
      <c r="B1513" s="1388"/>
      <c r="C1513" s="1373"/>
      <c r="D1513" s="1389"/>
      <c r="E1513" s="1390"/>
      <c r="F1513" s="1391"/>
      <c r="G1513" s="1391"/>
      <c r="H1513" s="1392"/>
      <c r="I1513" s="1392"/>
    </row>
    <row r="1514" spans="1:9" ht="15">
      <c r="A1514" s="1366"/>
      <c r="B1514" s="1388"/>
      <c r="C1514" s="1373"/>
      <c r="D1514" s="1389"/>
      <c r="E1514" s="1390"/>
      <c r="F1514" s="1391"/>
      <c r="G1514" s="1391"/>
      <c r="H1514" s="1392"/>
      <c r="I1514" s="1392"/>
    </row>
    <row r="1515" spans="1:9" ht="15">
      <c r="A1515" s="1366"/>
      <c r="B1515" s="1388"/>
      <c r="C1515" s="1373"/>
      <c r="D1515" s="1389"/>
      <c r="E1515" s="1390"/>
      <c r="F1515" s="1391"/>
      <c r="G1515" s="1391"/>
      <c r="H1515" s="1392"/>
      <c r="I1515" s="1392"/>
    </row>
    <row r="1516" spans="1:9" ht="15">
      <c r="A1516" s="1366"/>
      <c r="B1516" s="1388"/>
      <c r="C1516" s="1373"/>
      <c r="D1516" s="1389"/>
      <c r="E1516" s="1390"/>
      <c r="F1516" s="1391"/>
      <c r="G1516" s="1391"/>
      <c r="H1516" s="1392"/>
      <c r="I1516" s="1392"/>
    </row>
    <row r="1517" spans="1:9" ht="15">
      <c r="A1517" s="1366"/>
      <c r="B1517" s="1388"/>
      <c r="C1517" s="1373"/>
      <c r="D1517" s="1389"/>
      <c r="E1517" s="1390"/>
      <c r="F1517" s="1391"/>
      <c r="G1517" s="1391"/>
      <c r="H1517" s="1392"/>
      <c r="I1517" s="1392"/>
    </row>
    <row r="1518" spans="1:9" ht="15">
      <c r="A1518" s="1366"/>
      <c r="B1518" s="1388"/>
      <c r="C1518" s="1373"/>
      <c r="D1518" s="1389"/>
      <c r="E1518" s="1390"/>
      <c r="F1518" s="1391"/>
      <c r="G1518" s="1391"/>
      <c r="H1518" s="1392"/>
      <c r="I1518" s="1392"/>
    </row>
    <row r="1519" spans="1:9" ht="15">
      <c r="A1519" s="1366"/>
      <c r="B1519" s="1388"/>
      <c r="C1519" s="1373"/>
      <c r="D1519" s="1389"/>
      <c r="E1519" s="1390"/>
      <c r="F1519" s="1391"/>
      <c r="G1519" s="1391"/>
      <c r="H1519" s="1392"/>
      <c r="I1519" s="1392"/>
    </row>
    <row r="1520" spans="1:9" ht="15">
      <c r="A1520" s="1366"/>
      <c r="B1520" s="1388"/>
      <c r="C1520" s="1373"/>
      <c r="D1520" s="1389"/>
      <c r="E1520" s="1390"/>
      <c r="F1520" s="1391"/>
      <c r="G1520" s="1391"/>
      <c r="H1520" s="1392"/>
      <c r="I1520" s="1392"/>
    </row>
    <row r="1521" spans="1:9" ht="15">
      <c r="A1521" s="1366"/>
      <c r="B1521" s="1388"/>
      <c r="C1521" s="1373"/>
      <c r="D1521" s="1389"/>
      <c r="E1521" s="1390"/>
      <c r="F1521" s="1391"/>
      <c r="G1521" s="1391"/>
      <c r="H1521" s="1392"/>
      <c r="I1521" s="1392"/>
    </row>
    <row r="1522" spans="1:9" ht="15">
      <c r="A1522" s="1366"/>
      <c r="B1522" s="1388"/>
      <c r="C1522" s="1373"/>
      <c r="D1522" s="1389"/>
      <c r="E1522" s="1390"/>
      <c r="F1522" s="1391"/>
      <c r="G1522" s="1391"/>
      <c r="H1522" s="1392"/>
      <c r="I1522" s="1392"/>
    </row>
    <row r="1523" spans="1:9" ht="15">
      <c r="A1523" s="1366"/>
      <c r="B1523" s="1388"/>
      <c r="C1523" s="1373"/>
      <c r="D1523" s="1389"/>
      <c r="E1523" s="1390"/>
      <c r="F1523" s="1391"/>
      <c r="G1523" s="1391"/>
      <c r="H1523" s="1392"/>
      <c r="I1523" s="1392"/>
    </row>
    <row r="1524" spans="1:9" ht="15">
      <c r="A1524" s="1366"/>
      <c r="B1524" s="1388"/>
      <c r="C1524" s="1373"/>
      <c r="D1524" s="1389"/>
      <c r="E1524" s="1390"/>
      <c r="F1524" s="1391"/>
      <c r="G1524" s="1391"/>
      <c r="H1524" s="1392"/>
      <c r="I1524" s="1392"/>
    </row>
    <row r="1525" spans="1:9" ht="15">
      <c r="A1525" s="1366"/>
      <c r="B1525" s="1388"/>
      <c r="C1525" s="1373"/>
      <c r="D1525" s="1389"/>
      <c r="E1525" s="1390"/>
      <c r="F1525" s="1391"/>
      <c r="G1525" s="1391"/>
      <c r="H1525" s="1392"/>
      <c r="I1525" s="1392"/>
    </row>
    <row r="1526" spans="1:9" ht="15">
      <c r="A1526" s="1366"/>
      <c r="B1526" s="1388"/>
      <c r="C1526" s="1373"/>
      <c r="D1526" s="1389"/>
      <c r="E1526" s="1390"/>
      <c r="F1526" s="1391"/>
      <c r="G1526" s="1391"/>
      <c r="H1526" s="1392"/>
      <c r="I1526" s="1392"/>
    </row>
    <row r="1527" spans="1:9" ht="15">
      <c r="A1527" s="1366"/>
      <c r="B1527" s="1388"/>
      <c r="C1527" s="1373"/>
      <c r="D1527" s="1389"/>
      <c r="E1527" s="1390"/>
      <c r="F1527" s="1391"/>
      <c r="G1527" s="1391"/>
      <c r="H1527" s="1392"/>
      <c r="I1527" s="1392"/>
    </row>
    <row r="1528" spans="1:9" ht="15">
      <c r="A1528" s="1366"/>
      <c r="B1528" s="1388"/>
      <c r="C1528" s="1373"/>
      <c r="D1528" s="1389"/>
      <c r="E1528" s="1390"/>
      <c r="F1528" s="1391"/>
      <c r="G1528" s="1391"/>
      <c r="H1528" s="1392"/>
      <c r="I1528" s="1392"/>
    </row>
    <row r="1529" spans="1:9" ht="15">
      <c r="A1529" s="1366"/>
      <c r="B1529" s="1388"/>
      <c r="C1529" s="1373"/>
      <c r="D1529" s="1389"/>
      <c r="E1529" s="1390"/>
      <c r="F1529" s="1391"/>
      <c r="G1529" s="1391"/>
      <c r="H1529" s="1392"/>
      <c r="I1529" s="1392"/>
    </row>
    <row r="1530" spans="1:9" ht="15">
      <c r="A1530" s="1366"/>
      <c r="B1530" s="1388"/>
      <c r="C1530" s="1373"/>
      <c r="D1530" s="1389"/>
      <c r="E1530" s="1390"/>
      <c r="F1530" s="1391"/>
      <c r="G1530" s="1391"/>
      <c r="H1530" s="1392"/>
      <c r="I1530" s="1392"/>
    </row>
    <row r="1531" spans="1:9" ht="15">
      <c r="A1531" s="1366"/>
      <c r="B1531" s="1388"/>
      <c r="C1531" s="1373"/>
      <c r="D1531" s="1389"/>
      <c r="E1531" s="1390"/>
      <c r="F1531" s="1391"/>
      <c r="G1531" s="1391"/>
      <c r="H1531" s="1392"/>
      <c r="I1531" s="1392"/>
    </row>
    <row r="1532" spans="1:9" ht="15">
      <c r="A1532" s="1366"/>
      <c r="B1532" s="1388"/>
      <c r="C1532" s="1373"/>
      <c r="D1532" s="1389"/>
      <c r="E1532" s="1390"/>
      <c r="F1532" s="1391"/>
      <c r="G1532" s="1391"/>
      <c r="H1532" s="1392"/>
      <c r="I1532" s="1392"/>
    </row>
    <row r="1533" spans="1:9" ht="15">
      <c r="A1533" s="1366"/>
      <c r="B1533" s="1388"/>
      <c r="C1533" s="1373"/>
      <c r="D1533" s="1389"/>
      <c r="E1533" s="1390"/>
      <c r="F1533" s="1391"/>
      <c r="G1533" s="1391"/>
      <c r="H1533" s="1392"/>
      <c r="I1533" s="1392"/>
    </row>
    <row r="1534" spans="1:9" ht="15">
      <c r="A1534" s="1366"/>
      <c r="B1534" s="1388"/>
      <c r="C1534" s="1373"/>
      <c r="D1534" s="1389"/>
      <c r="E1534" s="1390"/>
      <c r="F1534" s="1391"/>
      <c r="G1534" s="1391"/>
      <c r="H1534" s="1392"/>
      <c r="I1534" s="1392"/>
    </row>
    <row r="1535" spans="1:9" ht="15">
      <c r="A1535" s="1366"/>
      <c r="B1535" s="1388"/>
      <c r="C1535" s="1373"/>
      <c r="D1535" s="1389"/>
      <c r="E1535" s="1390"/>
      <c r="F1535" s="1391"/>
      <c r="G1535" s="1391"/>
      <c r="H1535" s="1392"/>
      <c r="I1535" s="1392"/>
    </row>
    <row r="1536" spans="1:9" ht="15">
      <c r="A1536" s="1366"/>
      <c r="B1536" s="1388"/>
      <c r="C1536" s="1373"/>
      <c r="D1536" s="1389"/>
      <c r="E1536" s="1390"/>
      <c r="F1536" s="1391"/>
      <c r="G1536" s="1391"/>
      <c r="H1536" s="1392"/>
      <c r="I1536" s="1392"/>
    </row>
    <row r="1537" spans="1:9" ht="15">
      <c r="A1537" s="1366"/>
      <c r="B1537" s="1388"/>
      <c r="C1537" s="1373"/>
      <c r="D1537" s="1389"/>
      <c r="E1537" s="1390"/>
      <c r="F1537" s="1391"/>
      <c r="G1537" s="1391"/>
      <c r="H1537" s="1392"/>
      <c r="I1537" s="1392"/>
    </row>
    <row r="1538" spans="1:9" ht="15">
      <c r="A1538" s="1366"/>
      <c r="B1538" s="1388"/>
      <c r="C1538" s="1373"/>
      <c r="D1538" s="1389"/>
      <c r="E1538" s="1390"/>
      <c r="F1538" s="1391"/>
      <c r="G1538" s="1391"/>
      <c r="H1538" s="1392"/>
      <c r="I1538" s="1392"/>
    </row>
    <row r="1539" spans="1:9" ht="15">
      <c r="A1539" s="1366"/>
      <c r="B1539" s="1388"/>
      <c r="C1539" s="1373"/>
      <c r="D1539" s="1389"/>
      <c r="E1539" s="1390"/>
      <c r="F1539" s="1391"/>
      <c r="G1539" s="1391"/>
      <c r="H1539" s="1392"/>
      <c r="I1539" s="1392"/>
    </row>
    <row r="1540" spans="1:9" ht="15">
      <c r="A1540" s="1366"/>
      <c r="B1540" s="1388"/>
      <c r="C1540" s="1373"/>
      <c r="D1540" s="1389"/>
      <c r="E1540" s="1390"/>
      <c r="F1540" s="1391"/>
      <c r="G1540" s="1391"/>
      <c r="H1540" s="1392"/>
      <c r="I1540" s="1392"/>
    </row>
    <row r="1541" spans="1:9" ht="15">
      <c r="A1541" s="1366"/>
      <c r="B1541" s="1388"/>
      <c r="C1541" s="1373"/>
      <c r="D1541" s="1389"/>
      <c r="E1541" s="1390"/>
      <c r="F1541" s="1391"/>
      <c r="G1541" s="1391"/>
      <c r="H1541" s="1392"/>
      <c r="I1541" s="1392"/>
    </row>
    <row r="1542" spans="1:9" ht="15">
      <c r="A1542" s="1366"/>
      <c r="B1542" s="1388"/>
      <c r="C1542" s="1373"/>
      <c r="D1542" s="1389"/>
      <c r="E1542" s="1390"/>
      <c r="F1542" s="1391"/>
      <c r="G1542" s="1391"/>
      <c r="H1542" s="1392"/>
      <c r="I1542" s="1392"/>
    </row>
    <row r="1543" spans="1:9" ht="15">
      <c r="A1543" s="1366"/>
      <c r="B1543" s="1388"/>
      <c r="C1543" s="1373"/>
      <c r="D1543" s="1389"/>
      <c r="E1543" s="1390"/>
      <c r="F1543" s="1391"/>
      <c r="G1543" s="1391"/>
      <c r="H1543" s="1392"/>
      <c r="I1543" s="1392"/>
    </row>
    <row r="1544" spans="1:9" ht="15">
      <c r="A1544" s="1366"/>
      <c r="B1544" s="1388"/>
      <c r="C1544" s="1373"/>
      <c r="D1544" s="1389"/>
      <c r="E1544" s="1390"/>
      <c r="F1544" s="1391"/>
      <c r="G1544" s="1391"/>
      <c r="H1544" s="1392"/>
      <c r="I1544" s="1392"/>
    </row>
    <row r="1545" spans="1:9" ht="15">
      <c r="A1545" s="1366"/>
      <c r="B1545" s="1388"/>
      <c r="C1545" s="1373"/>
      <c r="D1545" s="1389"/>
      <c r="E1545" s="1390"/>
      <c r="F1545" s="1391"/>
      <c r="G1545" s="1391"/>
      <c r="H1545" s="1392"/>
      <c r="I1545" s="1392"/>
    </row>
    <row r="1546" spans="1:9" ht="15">
      <c r="A1546" s="1366"/>
      <c r="B1546" s="1388"/>
      <c r="C1546" s="1373"/>
      <c r="D1546" s="1389"/>
      <c r="E1546" s="1390"/>
      <c r="F1546" s="1391"/>
      <c r="G1546" s="1391"/>
      <c r="H1546" s="1392"/>
      <c r="I1546" s="1392"/>
    </row>
    <row r="1547" spans="1:9" ht="15">
      <c r="A1547" s="1366"/>
      <c r="B1547" s="1388"/>
      <c r="C1547" s="1373"/>
      <c r="D1547" s="1389"/>
      <c r="E1547" s="1390"/>
      <c r="F1547" s="1391"/>
      <c r="G1547" s="1391"/>
      <c r="H1547" s="1392"/>
      <c r="I1547" s="1392"/>
    </row>
    <row r="1548" spans="1:9" ht="15">
      <c r="A1548" s="1366"/>
      <c r="B1548" s="1388"/>
      <c r="C1548" s="1373"/>
      <c r="D1548" s="1389"/>
      <c r="E1548" s="1390"/>
      <c r="F1548" s="1391"/>
      <c r="G1548" s="1391"/>
      <c r="H1548" s="1392"/>
      <c r="I1548" s="1392"/>
    </row>
    <row r="1549" spans="1:9" ht="15">
      <c r="A1549" s="1366"/>
      <c r="B1549" s="1388"/>
      <c r="C1549" s="1373"/>
      <c r="D1549" s="1389"/>
      <c r="E1549" s="1390"/>
      <c r="F1549" s="1391"/>
      <c r="G1549" s="1391"/>
      <c r="H1549" s="1392"/>
      <c r="I1549" s="1392"/>
    </row>
    <row r="1550" spans="1:9" ht="15">
      <c r="A1550" s="1366"/>
      <c r="B1550" s="1388"/>
      <c r="C1550" s="1373"/>
      <c r="D1550" s="1389"/>
      <c r="E1550" s="1390"/>
      <c r="F1550" s="1391"/>
      <c r="G1550" s="1391"/>
      <c r="H1550" s="1392"/>
      <c r="I1550" s="1392"/>
    </row>
    <row r="1551" spans="1:9" ht="15">
      <c r="A1551" s="1366"/>
      <c r="B1551" s="1388"/>
      <c r="C1551" s="1373"/>
      <c r="D1551" s="1389"/>
      <c r="E1551" s="1390"/>
      <c r="F1551" s="1391"/>
      <c r="G1551" s="1391"/>
      <c r="H1551" s="1392"/>
      <c r="I1551" s="1392"/>
    </row>
    <row r="1552" spans="1:9" ht="15">
      <c r="A1552" s="1366"/>
      <c r="B1552" s="1388"/>
      <c r="C1552" s="1373"/>
      <c r="D1552" s="1389"/>
      <c r="E1552" s="1390"/>
      <c r="F1552" s="1391"/>
      <c r="G1552" s="1391"/>
      <c r="H1552" s="1392"/>
      <c r="I1552" s="1392"/>
    </row>
    <row r="1553" spans="1:9" ht="15">
      <c r="A1553" s="1366"/>
      <c r="B1553" s="1388"/>
      <c r="C1553" s="1373"/>
      <c r="D1553" s="1389"/>
      <c r="E1553" s="1390"/>
      <c r="F1553" s="1391"/>
      <c r="G1553" s="1391"/>
      <c r="H1553" s="1392"/>
      <c r="I1553" s="1392"/>
    </row>
    <row r="1554" spans="1:9" ht="15">
      <c r="A1554" s="1366"/>
      <c r="B1554" s="1388"/>
      <c r="C1554" s="1373"/>
      <c r="D1554" s="1389"/>
      <c r="E1554" s="1390"/>
      <c r="F1554" s="1391"/>
      <c r="G1554" s="1391"/>
      <c r="H1554" s="1392"/>
      <c r="I1554" s="1392"/>
    </row>
    <row r="1555" spans="1:9" ht="15">
      <c r="A1555" s="1366"/>
      <c r="B1555" s="1388"/>
      <c r="C1555" s="1373"/>
      <c r="D1555" s="1389"/>
      <c r="E1555" s="1390"/>
      <c r="F1555" s="1391"/>
      <c r="G1555" s="1391"/>
      <c r="H1555" s="1392"/>
      <c r="I1555" s="1392"/>
    </row>
    <row r="1556" spans="1:9" ht="15">
      <c r="A1556" s="1366"/>
      <c r="B1556" s="1388"/>
      <c r="C1556" s="1373"/>
      <c r="D1556" s="1389"/>
      <c r="E1556" s="1390"/>
      <c r="F1556" s="1391"/>
      <c r="G1556" s="1391"/>
      <c r="H1556" s="1392"/>
      <c r="I1556" s="1392"/>
    </row>
    <row r="1557" spans="1:9" ht="15">
      <c r="A1557" s="1366"/>
      <c r="B1557" s="1388"/>
      <c r="C1557" s="1373"/>
      <c r="D1557" s="1389"/>
      <c r="E1557" s="1390"/>
      <c r="F1557" s="1391"/>
      <c r="G1557" s="1391"/>
      <c r="H1557" s="1392"/>
      <c r="I1557" s="1392"/>
    </row>
    <row r="1558" spans="1:9" ht="15">
      <c r="A1558" s="1366"/>
      <c r="B1558" s="1388"/>
      <c r="C1558" s="1373"/>
      <c r="D1558" s="1389"/>
      <c r="E1558" s="1390"/>
      <c r="F1558" s="1391"/>
      <c r="G1558" s="1391"/>
      <c r="H1558" s="1392"/>
      <c r="I1558" s="1392"/>
    </row>
    <row r="1559" spans="1:9" ht="15">
      <c r="A1559" s="1366"/>
      <c r="B1559" s="1388"/>
      <c r="C1559" s="1373"/>
      <c r="D1559" s="1389"/>
      <c r="E1559" s="1390"/>
      <c r="F1559" s="1391"/>
      <c r="G1559" s="1391"/>
      <c r="H1559" s="1392"/>
      <c r="I1559" s="1392"/>
    </row>
    <row r="1560" spans="1:9" ht="15">
      <c r="A1560" s="1366"/>
      <c r="B1560" s="1388"/>
      <c r="C1560" s="1373"/>
      <c r="D1560" s="1389"/>
      <c r="E1560" s="1390"/>
      <c r="F1560" s="1391"/>
      <c r="G1560" s="1391"/>
      <c r="H1560" s="1392"/>
      <c r="I1560" s="1392"/>
    </row>
    <row r="1561" spans="1:9" ht="15">
      <c r="A1561" s="1366"/>
      <c r="B1561" s="1388"/>
      <c r="C1561" s="1373"/>
      <c r="D1561" s="1389"/>
      <c r="E1561" s="1390"/>
      <c r="F1561" s="1391"/>
      <c r="G1561" s="1391"/>
      <c r="H1561" s="1392"/>
      <c r="I1561" s="1392"/>
    </row>
    <row r="1562" spans="1:9" ht="15">
      <c r="A1562" s="1366"/>
      <c r="B1562" s="1388"/>
      <c r="C1562" s="1373"/>
      <c r="D1562" s="1389"/>
      <c r="E1562" s="1390"/>
      <c r="F1562" s="1391"/>
      <c r="G1562" s="1391"/>
      <c r="H1562" s="1392"/>
      <c r="I1562" s="1392"/>
    </row>
    <row r="1563" spans="1:9" ht="15">
      <c r="A1563" s="1366"/>
      <c r="B1563" s="1388"/>
      <c r="C1563" s="1373"/>
      <c r="D1563" s="1389"/>
      <c r="E1563" s="1390"/>
      <c r="F1563" s="1391"/>
      <c r="G1563" s="1391"/>
      <c r="H1563" s="1392"/>
      <c r="I1563" s="1392"/>
    </row>
    <row r="1564" spans="1:9" ht="15">
      <c r="A1564" s="1366"/>
      <c r="B1564" s="1388"/>
      <c r="C1564" s="1373"/>
      <c r="D1564" s="1389"/>
      <c r="E1564" s="1390"/>
      <c r="F1564" s="1391"/>
      <c r="G1564" s="1391"/>
      <c r="H1564" s="1392"/>
      <c r="I1564" s="1392"/>
    </row>
    <row r="1565" spans="1:9" ht="15">
      <c r="A1565" s="1366"/>
      <c r="B1565" s="1388"/>
      <c r="C1565" s="1373"/>
      <c r="D1565" s="1389"/>
      <c r="E1565" s="1390"/>
      <c r="F1565" s="1391"/>
      <c r="G1565" s="1391"/>
      <c r="H1565" s="1392"/>
      <c r="I1565" s="1392"/>
    </row>
    <row r="1566" spans="1:9" ht="15">
      <c r="A1566" s="1366"/>
      <c r="B1566" s="1388"/>
      <c r="C1566" s="1373"/>
      <c r="D1566" s="1389"/>
      <c r="E1566" s="1390"/>
      <c r="F1566" s="1391"/>
      <c r="G1566" s="1391"/>
      <c r="H1566" s="1392"/>
      <c r="I1566" s="1392"/>
    </row>
    <row r="1567" spans="1:9" ht="15">
      <c r="A1567" s="1366"/>
      <c r="B1567" s="1388"/>
      <c r="C1567" s="1373"/>
      <c r="D1567" s="1389"/>
      <c r="E1567" s="1390"/>
      <c r="F1567" s="1391"/>
      <c r="G1567" s="1391"/>
      <c r="H1567" s="1392"/>
      <c r="I1567" s="1392"/>
    </row>
    <row r="1568" spans="1:9" ht="15">
      <c r="A1568" s="1366"/>
      <c r="B1568" s="1388"/>
      <c r="C1568" s="1373"/>
      <c r="D1568" s="1389"/>
      <c r="E1568" s="1390"/>
      <c r="F1568" s="1391"/>
      <c r="G1568" s="1391"/>
      <c r="H1568" s="1392"/>
      <c r="I1568" s="1392"/>
    </row>
    <row r="1569" spans="1:9" ht="15">
      <c r="A1569" s="1366"/>
      <c r="B1569" s="1388"/>
      <c r="C1569" s="1373"/>
      <c r="D1569" s="1389"/>
      <c r="E1569" s="1390"/>
      <c r="F1569" s="1391"/>
      <c r="G1569" s="1391"/>
      <c r="H1569" s="1392"/>
      <c r="I1569" s="1392"/>
    </row>
    <row r="1570" spans="1:9" ht="15">
      <c r="A1570" s="1366"/>
      <c r="B1570" s="1388"/>
      <c r="C1570" s="1373"/>
      <c r="D1570" s="1389"/>
      <c r="E1570" s="1390"/>
      <c r="F1570" s="1391"/>
      <c r="G1570" s="1391"/>
      <c r="H1570" s="1392"/>
      <c r="I1570" s="1392"/>
    </row>
    <row r="1571" spans="1:9" ht="15">
      <c r="A1571" s="1366"/>
      <c r="B1571" s="1388"/>
      <c r="C1571" s="1373"/>
      <c r="D1571" s="1389"/>
      <c r="E1571" s="1390"/>
      <c r="F1571" s="1391"/>
      <c r="G1571" s="1391"/>
      <c r="H1571" s="1392"/>
      <c r="I1571" s="1392"/>
    </row>
    <row r="1572" spans="1:9" ht="15">
      <c r="A1572" s="1366"/>
      <c r="B1572" s="1388"/>
      <c r="C1572" s="1373"/>
      <c r="D1572" s="1389"/>
      <c r="E1572" s="1390"/>
      <c r="F1572" s="1391"/>
      <c r="G1572" s="1391"/>
      <c r="H1572" s="1392"/>
      <c r="I1572" s="1392"/>
    </row>
    <row r="1573" spans="1:9" ht="15">
      <c r="A1573" s="1366"/>
      <c r="B1573" s="1388"/>
      <c r="C1573" s="1373"/>
      <c r="D1573" s="1389"/>
      <c r="E1573" s="1390"/>
      <c r="F1573" s="1391"/>
      <c r="G1573" s="1391"/>
      <c r="H1573" s="1392"/>
      <c r="I1573" s="1392"/>
    </row>
    <row r="1574" spans="1:9" ht="15">
      <c r="A1574" s="1366"/>
      <c r="B1574" s="1388"/>
      <c r="C1574" s="1373"/>
      <c r="D1574" s="1389"/>
      <c r="E1574" s="1390"/>
      <c r="F1574" s="1391"/>
      <c r="G1574" s="1391"/>
      <c r="H1574" s="1392"/>
      <c r="I1574" s="1392"/>
    </row>
    <row r="1575" spans="1:9" ht="15">
      <c r="A1575" s="1366"/>
      <c r="B1575" s="1388"/>
      <c r="C1575" s="1373"/>
      <c r="D1575" s="1389"/>
      <c r="E1575" s="1390"/>
      <c r="F1575" s="1391"/>
      <c r="G1575" s="1391"/>
      <c r="H1575" s="1392"/>
      <c r="I1575" s="1392"/>
    </row>
    <row r="1576" spans="1:9" ht="15">
      <c r="A1576" s="1366"/>
      <c r="B1576" s="1388"/>
      <c r="C1576" s="1373"/>
      <c r="D1576" s="1389"/>
      <c r="E1576" s="1390"/>
      <c r="F1576" s="1391"/>
      <c r="G1576" s="1391"/>
      <c r="H1576" s="1392"/>
      <c r="I1576" s="1392"/>
    </row>
    <row r="1577" spans="1:9" ht="15">
      <c r="A1577" s="1366"/>
      <c r="B1577" s="1388"/>
      <c r="C1577" s="1373"/>
      <c r="D1577" s="1389"/>
      <c r="E1577" s="1390"/>
      <c r="F1577" s="1391"/>
      <c r="G1577" s="1391"/>
      <c r="H1577" s="1392"/>
      <c r="I1577" s="1392"/>
    </row>
    <row r="1578" spans="1:9" ht="15">
      <c r="A1578" s="1366"/>
      <c r="B1578" s="1388"/>
      <c r="C1578" s="1373"/>
      <c r="D1578" s="1389"/>
      <c r="E1578" s="1390"/>
      <c r="F1578" s="1391"/>
      <c r="G1578" s="1391"/>
      <c r="H1578" s="1392"/>
      <c r="I1578" s="1392"/>
    </row>
    <row r="1579" spans="1:9" ht="15">
      <c r="A1579" s="1366"/>
      <c r="B1579" s="1388"/>
      <c r="C1579" s="1373"/>
      <c r="D1579" s="1389"/>
      <c r="E1579" s="1390"/>
      <c r="F1579" s="1391"/>
      <c r="G1579" s="1391"/>
      <c r="H1579" s="1392"/>
      <c r="I1579" s="1392"/>
    </row>
    <row r="1580" spans="1:9" ht="15">
      <c r="A1580" s="1366"/>
      <c r="B1580" s="1388"/>
      <c r="C1580" s="1373"/>
      <c r="D1580" s="1389"/>
      <c r="E1580" s="1390"/>
      <c r="F1580" s="1391"/>
      <c r="G1580" s="1391"/>
      <c r="H1580" s="1392"/>
      <c r="I1580" s="1392"/>
    </row>
    <row r="1581" spans="1:9" ht="15">
      <c r="A1581" s="1366"/>
      <c r="B1581" s="1388"/>
      <c r="C1581" s="1373"/>
      <c r="D1581" s="1389"/>
      <c r="E1581" s="1390"/>
      <c r="F1581" s="1391"/>
      <c r="G1581" s="1391"/>
      <c r="H1581" s="1392"/>
      <c r="I1581" s="1392"/>
    </row>
    <row r="1582" spans="1:9" ht="15">
      <c r="A1582" s="1366"/>
      <c r="B1582" s="1388"/>
      <c r="C1582" s="1373"/>
      <c r="D1582" s="1389"/>
      <c r="E1582" s="1390"/>
      <c r="F1582" s="1391"/>
      <c r="G1582" s="1391"/>
      <c r="H1582" s="1392"/>
      <c r="I1582" s="1392"/>
    </row>
    <row r="1583" spans="1:9" ht="15">
      <c r="A1583" s="1366"/>
      <c r="B1583" s="1388"/>
      <c r="C1583" s="1373"/>
      <c r="D1583" s="1389"/>
      <c r="E1583" s="1390"/>
      <c r="F1583" s="1391"/>
      <c r="G1583" s="1391"/>
      <c r="H1583" s="1392"/>
      <c r="I1583" s="1392"/>
    </row>
    <row r="1584" spans="1:9" ht="15">
      <c r="A1584" s="1366"/>
      <c r="B1584" s="1388"/>
      <c r="C1584" s="1373"/>
      <c r="D1584" s="1389"/>
      <c r="E1584" s="1390"/>
      <c r="F1584" s="1391"/>
      <c r="G1584" s="1391"/>
      <c r="H1584" s="1392"/>
      <c r="I1584" s="1392"/>
    </row>
    <row r="1585" spans="1:9" ht="15">
      <c r="A1585" s="1366"/>
      <c r="B1585" s="1388"/>
      <c r="C1585" s="1373"/>
      <c r="D1585" s="1389"/>
      <c r="E1585" s="1390"/>
      <c r="F1585" s="1391"/>
      <c r="G1585" s="1391"/>
      <c r="H1585" s="1392"/>
      <c r="I1585" s="1392"/>
    </row>
    <row r="1586" spans="1:9" ht="15">
      <c r="A1586" s="1366"/>
      <c r="B1586" s="1388"/>
      <c r="C1586" s="1373"/>
      <c r="D1586" s="1389"/>
      <c r="E1586" s="1390"/>
      <c r="F1586" s="1391"/>
      <c r="G1586" s="1391"/>
      <c r="H1586" s="1392"/>
      <c r="I1586" s="1392"/>
    </row>
    <row r="1587" spans="1:9" ht="15">
      <c r="A1587" s="1366"/>
      <c r="B1587" s="1388"/>
      <c r="C1587" s="1373"/>
      <c r="D1587" s="1389"/>
      <c r="E1587" s="1390"/>
      <c r="F1587" s="1391"/>
      <c r="G1587" s="1391"/>
      <c r="H1587" s="1392"/>
      <c r="I1587" s="1392"/>
    </row>
    <row r="1588" spans="1:9" ht="15">
      <c r="A1588" s="1366"/>
      <c r="B1588" s="1388"/>
      <c r="C1588" s="1373"/>
      <c r="D1588" s="1389"/>
      <c r="E1588" s="1390"/>
      <c r="F1588" s="1391"/>
      <c r="G1588" s="1391"/>
      <c r="H1588" s="1392"/>
      <c r="I1588" s="1392"/>
    </row>
    <row r="1589" spans="1:9" ht="15">
      <c r="A1589" s="1366"/>
      <c r="B1589" s="1388"/>
      <c r="C1589" s="1373"/>
      <c r="D1589" s="1389"/>
      <c r="E1589" s="1390"/>
      <c r="F1589" s="1391"/>
      <c r="G1589" s="1391"/>
      <c r="H1589" s="1392"/>
      <c r="I1589" s="1392"/>
    </row>
    <row r="1590" spans="1:9" ht="15">
      <c r="A1590" s="1366"/>
      <c r="B1590" s="1388"/>
      <c r="C1590" s="1373"/>
      <c r="D1590" s="1389"/>
      <c r="E1590" s="1390"/>
      <c r="F1590" s="1391"/>
      <c r="G1590" s="1391"/>
      <c r="H1590" s="1392"/>
      <c r="I1590" s="1392"/>
    </row>
    <row r="1591" spans="1:9" ht="15">
      <c r="A1591" s="1366"/>
      <c r="B1591" s="1388"/>
      <c r="C1591" s="1373"/>
      <c r="D1591" s="1389"/>
      <c r="E1591" s="1390"/>
      <c r="F1591" s="1391"/>
      <c r="G1591" s="1391"/>
      <c r="H1591" s="1392"/>
      <c r="I1591" s="1392"/>
    </row>
    <row r="1592" spans="1:9" ht="15">
      <c r="A1592" s="1366"/>
      <c r="B1592" s="1388"/>
      <c r="C1592" s="1373"/>
      <c r="D1592" s="1389"/>
      <c r="E1592" s="1390"/>
      <c r="F1592" s="1391"/>
      <c r="G1592" s="1391"/>
      <c r="H1592" s="1392"/>
      <c r="I1592" s="1392"/>
    </row>
    <row r="1593" spans="1:9" ht="15">
      <c r="A1593" s="1366"/>
      <c r="B1593" s="1388"/>
      <c r="C1593" s="1373"/>
      <c r="D1593" s="1389"/>
      <c r="E1593" s="1390"/>
      <c r="F1593" s="1391"/>
      <c r="G1593" s="1391"/>
      <c r="H1593" s="1392"/>
      <c r="I1593" s="1392"/>
    </row>
    <row r="1594" spans="1:9" ht="15">
      <c r="A1594" s="1366"/>
      <c r="B1594" s="1388"/>
      <c r="C1594" s="1373"/>
      <c r="D1594" s="1389"/>
      <c r="E1594" s="1390"/>
      <c r="F1594" s="1391"/>
      <c r="G1594" s="1391"/>
      <c r="H1594" s="1392"/>
      <c r="I1594" s="1392"/>
    </row>
    <row r="1595" spans="1:9" ht="15">
      <c r="A1595" s="1366"/>
      <c r="B1595" s="1388"/>
      <c r="C1595" s="1373"/>
      <c r="D1595" s="1389"/>
      <c r="E1595" s="1390"/>
      <c r="F1595" s="1391"/>
      <c r="G1595" s="1391"/>
      <c r="H1595" s="1392"/>
      <c r="I1595" s="1392"/>
    </row>
    <row r="1596" spans="1:9" ht="15">
      <c r="A1596" s="1366"/>
      <c r="B1596" s="1388"/>
      <c r="C1596" s="1373"/>
      <c r="D1596" s="1389"/>
      <c r="E1596" s="1390"/>
      <c r="F1596" s="1391"/>
      <c r="G1596" s="1391"/>
      <c r="H1596" s="1392"/>
      <c r="I1596" s="1392"/>
    </row>
    <row r="1597" spans="1:9" ht="15">
      <c r="A1597" s="1366"/>
      <c r="B1597" s="1388"/>
      <c r="C1597" s="1373"/>
      <c r="D1597" s="1389"/>
      <c r="E1597" s="1390"/>
      <c r="F1597" s="1391"/>
      <c r="G1597" s="1391"/>
      <c r="H1597" s="1392"/>
      <c r="I1597" s="1392"/>
    </row>
    <row r="1598" spans="1:9" ht="15">
      <c r="A1598" s="1366"/>
      <c r="B1598" s="1388"/>
      <c r="C1598" s="1373"/>
      <c r="D1598" s="1389"/>
      <c r="E1598" s="1390"/>
      <c r="F1598" s="1391"/>
      <c r="G1598" s="1391"/>
      <c r="H1598" s="1392"/>
      <c r="I1598" s="1392"/>
    </row>
    <row r="1599" spans="1:9" ht="15">
      <c r="A1599" s="1366"/>
      <c r="B1599" s="1388"/>
      <c r="C1599" s="1373"/>
      <c r="D1599" s="1389"/>
      <c r="E1599" s="1390"/>
      <c r="F1599" s="1391"/>
      <c r="G1599" s="1391"/>
      <c r="H1599" s="1392"/>
      <c r="I1599" s="1392"/>
    </row>
    <row r="1600" spans="1:9" ht="15">
      <c r="A1600" s="1366"/>
      <c r="B1600" s="1388"/>
      <c r="C1600" s="1373"/>
      <c r="D1600" s="1389"/>
      <c r="E1600" s="1390"/>
      <c r="F1600" s="1391"/>
      <c r="G1600" s="1391"/>
      <c r="H1600" s="1392"/>
      <c r="I1600" s="1392"/>
    </row>
    <row r="1601" spans="1:9" ht="15">
      <c r="A1601" s="1366"/>
      <c r="B1601" s="1388"/>
      <c r="C1601" s="1373"/>
      <c r="D1601" s="1389"/>
      <c r="E1601" s="1390"/>
      <c r="F1601" s="1391"/>
      <c r="G1601" s="1391"/>
      <c r="H1601" s="1392"/>
      <c r="I1601" s="1392"/>
    </row>
    <row r="1602" spans="1:9" ht="15">
      <c r="A1602" s="1366"/>
      <c r="B1602" s="1388"/>
      <c r="C1602" s="1373"/>
      <c r="D1602" s="1389"/>
      <c r="E1602" s="1390"/>
      <c r="F1602" s="1391"/>
      <c r="G1602" s="1391"/>
      <c r="H1602" s="1392"/>
      <c r="I1602" s="1392"/>
    </row>
    <row r="1603" spans="1:9" ht="15">
      <c r="A1603" s="1366"/>
      <c r="B1603" s="1388"/>
      <c r="C1603" s="1373"/>
      <c r="D1603" s="1389"/>
      <c r="E1603" s="1390"/>
      <c r="F1603" s="1391"/>
      <c r="G1603" s="1391"/>
      <c r="H1603" s="1392"/>
      <c r="I1603" s="1392"/>
    </row>
    <row r="1604" spans="1:9" ht="15">
      <c r="A1604" s="1366"/>
      <c r="B1604" s="1388"/>
      <c r="C1604" s="1373"/>
      <c r="D1604" s="1389"/>
      <c r="E1604" s="1390"/>
      <c r="F1604" s="1391"/>
      <c r="G1604" s="1391"/>
      <c r="H1604" s="1392"/>
      <c r="I1604" s="1392"/>
    </row>
    <row r="1605" spans="1:9" ht="15">
      <c r="A1605" s="1366"/>
      <c r="B1605" s="1388"/>
      <c r="C1605" s="1373"/>
      <c r="D1605" s="1389"/>
      <c r="E1605" s="1390"/>
      <c r="F1605" s="1391"/>
      <c r="G1605" s="1391"/>
      <c r="H1605" s="1392"/>
      <c r="I1605" s="1392"/>
    </row>
    <row r="1606" spans="1:9" ht="15">
      <c r="A1606" s="1366"/>
      <c r="B1606" s="1388"/>
      <c r="C1606" s="1373"/>
      <c r="D1606" s="1389"/>
      <c r="E1606" s="1390"/>
      <c r="F1606" s="1391"/>
      <c r="G1606" s="1391"/>
      <c r="H1606" s="1392"/>
      <c r="I1606" s="1392"/>
    </row>
    <row r="1607" spans="1:9" ht="15">
      <c r="A1607" s="1366"/>
      <c r="B1607" s="1388"/>
      <c r="C1607" s="1373"/>
      <c r="D1607" s="1389"/>
      <c r="E1607" s="1390"/>
      <c r="F1607" s="1391"/>
      <c r="G1607" s="1391"/>
      <c r="H1607" s="1392"/>
      <c r="I1607" s="1392"/>
    </row>
    <row r="1608" spans="1:9" ht="15">
      <c r="A1608" s="1366"/>
      <c r="B1608" s="1388"/>
      <c r="C1608" s="1373"/>
      <c r="D1608" s="1389"/>
      <c r="E1608" s="1390"/>
      <c r="F1608" s="1391"/>
      <c r="G1608" s="1391"/>
      <c r="H1608" s="1392"/>
      <c r="I1608" s="1392"/>
    </row>
    <row r="1609" spans="1:9" ht="15">
      <c r="A1609" s="1366"/>
      <c r="B1609" s="1388"/>
      <c r="C1609" s="1373"/>
      <c r="D1609" s="1389"/>
      <c r="E1609" s="1390"/>
      <c r="F1609" s="1391"/>
      <c r="G1609" s="1391"/>
      <c r="H1609" s="1392"/>
      <c r="I1609" s="1392"/>
    </row>
    <row r="1610" spans="1:9" ht="15">
      <c r="A1610" s="1366"/>
      <c r="B1610" s="1388"/>
      <c r="C1610" s="1373"/>
      <c r="D1610" s="1389"/>
      <c r="E1610" s="1390"/>
      <c r="F1610" s="1391"/>
      <c r="G1610" s="1391"/>
      <c r="H1610" s="1392"/>
      <c r="I1610" s="1392"/>
    </row>
    <row r="1611" spans="1:9" ht="15">
      <c r="A1611" s="1366"/>
      <c r="B1611" s="1388"/>
      <c r="C1611" s="1373"/>
      <c r="D1611" s="1389"/>
      <c r="E1611" s="1390"/>
      <c r="F1611" s="1391"/>
      <c r="G1611" s="1391"/>
      <c r="H1611" s="1392"/>
      <c r="I1611" s="1392"/>
    </row>
    <row r="1612" spans="1:9" ht="15">
      <c r="A1612" s="1366"/>
      <c r="B1612" s="1388"/>
      <c r="C1612" s="1373"/>
      <c r="D1612" s="1389"/>
      <c r="E1612" s="1390"/>
      <c r="F1612" s="1391"/>
      <c r="G1612" s="1391"/>
      <c r="H1612" s="1392"/>
      <c r="I1612" s="1392"/>
    </row>
    <row r="1613" spans="1:9" ht="15">
      <c r="A1613" s="1366"/>
      <c r="B1613" s="1388"/>
      <c r="C1613" s="1373"/>
      <c r="D1613" s="1389"/>
      <c r="E1613" s="1390"/>
      <c r="F1613" s="1391"/>
      <c r="G1613" s="1391"/>
      <c r="H1613" s="1392"/>
      <c r="I1613" s="1392"/>
    </row>
    <row r="1614" spans="1:9" ht="15">
      <c r="A1614" s="1366"/>
      <c r="B1614" s="1388"/>
      <c r="C1614" s="1373"/>
      <c r="D1614" s="1389"/>
      <c r="E1614" s="1390"/>
      <c r="F1614" s="1391"/>
      <c r="G1614" s="1391"/>
      <c r="H1614" s="1392"/>
      <c r="I1614" s="1392"/>
    </row>
    <row r="1615" spans="1:9" ht="15">
      <c r="A1615" s="1366"/>
      <c r="B1615" s="1388"/>
      <c r="C1615" s="1373"/>
      <c r="D1615" s="1389"/>
      <c r="E1615" s="1390"/>
      <c r="F1615" s="1391"/>
      <c r="G1615" s="1391"/>
      <c r="H1615" s="1392"/>
      <c r="I1615" s="1392"/>
    </row>
    <row r="1616" spans="1:9" ht="15">
      <c r="A1616" s="1366"/>
      <c r="B1616" s="1388"/>
      <c r="C1616" s="1373"/>
      <c r="D1616" s="1389"/>
      <c r="E1616" s="1390"/>
      <c r="F1616" s="1391"/>
      <c r="G1616" s="1391"/>
      <c r="H1616" s="1392"/>
      <c r="I1616" s="1392"/>
    </row>
  </sheetData>
  <mergeCells count="23">
    <mergeCell ref="D37:I37"/>
    <mergeCell ref="D133:I133"/>
    <mergeCell ref="D136:I136"/>
    <mergeCell ref="A1:A2"/>
    <mergeCell ref="D1:D2"/>
    <mergeCell ref="E1:E2"/>
    <mergeCell ref="D10:I10"/>
    <mergeCell ref="D17:I17"/>
    <mergeCell ref="D18:I18"/>
    <mergeCell ref="D33:I33"/>
    <mergeCell ref="D12:I12"/>
    <mergeCell ref="D16:I16"/>
    <mergeCell ref="D19:I19"/>
    <mergeCell ref="D25:I25"/>
    <mergeCell ref="D14:I14"/>
    <mergeCell ref="D141:I141"/>
    <mergeCell ref="D65:I65"/>
    <mergeCell ref="D70:I70"/>
    <mergeCell ref="D73:I73"/>
    <mergeCell ref="D129:I129"/>
    <mergeCell ref="D138:I138"/>
    <mergeCell ref="D125:I125"/>
    <mergeCell ref="D78:I78"/>
  </mergeCells>
  <printOptions horizontalCentered="1" verticalCentered="1"/>
  <pageMargins left="0.5905511811023623" right="0.3937007874015748" top="0.5905511811023623" bottom="0.3937007874015748" header="0.2362204724409449" footer="0.1968503937007874"/>
  <pageSetup fitToHeight="30" fitToWidth="1" horizontalDpi="600" verticalDpi="600" orientation="portrait" paperSize="9" scale="62" r:id="rId2"/>
  <headerFooter alignWithMargins="0">
    <oddHeader>&amp;C&amp;"Times New Roman CE,Kursywa"&amp;16Budżet gminy Łęczna na 2007 rok - Dochody
&amp;R&amp;"Times New Roman,Kursywa"&amp;20Załącznik Nr 1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="90" zoomScaleNormal="90" workbookViewId="0" topLeftCell="A1">
      <selection activeCell="G5" sqref="A1:G5"/>
    </sheetView>
  </sheetViews>
  <sheetFormatPr defaultColWidth="9.00390625" defaultRowHeight="12.75"/>
  <cols>
    <col min="1" max="1" width="4.375" style="1582" customWidth="1"/>
    <col min="2" max="2" width="13.375" style="1582" customWidth="1"/>
    <col min="3" max="3" width="2.00390625" style="1582" customWidth="1"/>
    <col min="4" max="4" width="34.75390625" style="1582" customWidth="1"/>
    <col min="5" max="5" width="18.125" style="1582" customWidth="1"/>
    <col min="6" max="6" width="2.25390625" style="1582" customWidth="1"/>
    <col min="7" max="7" width="60.625" style="1582" customWidth="1"/>
    <col min="8" max="16384" width="11.375" style="1582" customWidth="1"/>
  </cols>
  <sheetData>
    <row r="1" spans="1:7" ht="69" customHeight="1">
      <c r="A1" s="2039" t="s">
        <v>368</v>
      </c>
      <c r="B1" s="1962"/>
      <c r="C1" s="1962"/>
      <c r="D1" s="1962"/>
      <c r="E1" s="1962"/>
      <c r="F1" s="1962"/>
      <c r="G1" s="1962"/>
    </row>
    <row r="2" spans="1:7" ht="80.25" customHeight="1">
      <c r="A2" s="1778" t="s">
        <v>708</v>
      </c>
      <c r="B2" s="1779" t="s">
        <v>361</v>
      </c>
      <c r="C2" s="1780"/>
      <c r="D2" s="1779" t="s">
        <v>362</v>
      </c>
      <c r="E2" s="1781" t="s">
        <v>363</v>
      </c>
      <c r="F2" s="1782"/>
      <c r="G2" s="1779" t="s">
        <v>364</v>
      </c>
    </row>
    <row r="3" spans="1:7" ht="112.5" customHeight="1">
      <c r="A3" s="1783">
        <v>1</v>
      </c>
      <c r="B3" s="1784" t="s">
        <v>365</v>
      </c>
      <c r="C3" s="1785"/>
      <c r="D3" s="1786" t="s">
        <v>366</v>
      </c>
      <c r="E3" s="1787">
        <v>10500</v>
      </c>
      <c r="F3" s="1788"/>
      <c r="G3" s="1789" t="s">
        <v>369</v>
      </c>
    </row>
    <row r="5" spans="4:5" ht="36" customHeight="1">
      <c r="D5" s="1790" t="s">
        <v>367</v>
      </c>
      <c r="E5" s="1791">
        <f>+E3</f>
        <v>10500</v>
      </c>
    </row>
  </sheetData>
  <mergeCells count="1">
    <mergeCell ref="A1:G1"/>
  </mergeCells>
  <printOptions/>
  <pageMargins left="0.7874015748031497" right="0.7874015748031497" top="1.3779527559055118" bottom="0.984251968503937" header="0.5118110236220472" footer="0.5118110236220472"/>
  <pageSetup fitToHeight="1" fitToWidth="1" horizontalDpi="300" verticalDpi="300" orientation="portrait" paperSize="9" scale="63" r:id="rId1"/>
  <headerFooter alignWithMargins="0">
    <oddHeader>&amp;R&amp;"Times New Roman CE,Kursywa"&amp;18Załącznik Nr 10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3">
    <tabColor indexed="26"/>
    <pageSetUpPr fitToPage="1"/>
  </sheetPr>
  <dimension ref="A1:H21"/>
  <sheetViews>
    <sheetView zoomScale="90" zoomScaleNormal="9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6.375" style="1754" customWidth="1"/>
    <col min="2" max="2" width="0.2421875" style="1754" customWidth="1"/>
    <col min="3" max="3" width="40.875" style="1773" customWidth="1"/>
    <col min="4" max="4" width="17.375" style="1773" customWidth="1"/>
    <col min="5" max="5" width="25.25390625" style="1774" customWidth="1"/>
    <col min="6" max="6" width="64.00390625" style="1775" customWidth="1"/>
    <col min="7" max="7" width="11.375" style="1776" hidden="1" customWidth="1"/>
    <col min="8" max="8" width="11.375" style="1777" customWidth="1"/>
    <col min="9" max="16384" width="11.375" style="1776" customWidth="1"/>
  </cols>
  <sheetData>
    <row r="1" spans="1:8" s="1754" customFormat="1" ht="54" customHeight="1">
      <c r="A1" s="2042" t="s">
        <v>464</v>
      </c>
      <c r="B1" s="2043"/>
      <c r="C1" s="2043"/>
      <c r="D1" s="2043"/>
      <c r="E1" s="2043"/>
      <c r="F1" s="2043"/>
      <c r="H1" s="1755"/>
    </row>
    <row r="2" spans="1:8" s="1754" customFormat="1" ht="15.75" customHeight="1">
      <c r="A2" s="1756"/>
      <c r="B2" s="1757"/>
      <c r="C2" s="1753"/>
      <c r="D2" s="1753"/>
      <c r="E2" s="1758"/>
      <c r="F2" s="1759"/>
      <c r="H2" s="1755"/>
    </row>
    <row r="3" spans="1:8" s="1762" customFormat="1" ht="70.5" customHeight="1">
      <c r="A3" s="1760" t="s">
        <v>708</v>
      </c>
      <c r="B3" s="1760"/>
      <c r="C3" s="1760" t="s">
        <v>323</v>
      </c>
      <c r="D3" s="1760" t="s">
        <v>360</v>
      </c>
      <c r="E3" s="1761" t="s">
        <v>324</v>
      </c>
      <c r="F3" s="1760" t="s">
        <v>325</v>
      </c>
      <c r="H3" s="1763"/>
    </row>
    <row r="4" spans="1:8" s="1754" customFormat="1" ht="94.5" customHeight="1">
      <c r="A4" s="1764" t="s">
        <v>682</v>
      </c>
      <c r="B4" s="1764"/>
      <c r="C4" s="1765" t="s">
        <v>326</v>
      </c>
      <c r="D4" s="1764" t="s">
        <v>164</v>
      </c>
      <c r="E4" s="1766">
        <v>19000</v>
      </c>
      <c r="F4" s="1767" t="s">
        <v>327</v>
      </c>
      <c r="H4" s="1755" t="s">
        <v>526</v>
      </c>
    </row>
    <row r="5" spans="1:8" s="1754" customFormat="1" ht="94.5" customHeight="1">
      <c r="A5" s="1764" t="s">
        <v>700</v>
      </c>
      <c r="B5" s="1764"/>
      <c r="C5" s="1765" t="s">
        <v>328</v>
      </c>
      <c r="D5" s="1764" t="s">
        <v>329</v>
      </c>
      <c r="E5" s="1766">
        <v>15100</v>
      </c>
      <c r="F5" s="1767" t="s">
        <v>330</v>
      </c>
      <c r="G5" s="1754">
        <v>2820</v>
      </c>
      <c r="H5" s="1755" t="s">
        <v>526</v>
      </c>
    </row>
    <row r="6" spans="1:8" s="1754" customFormat="1" ht="94.5" customHeight="1">
      <c r="A6" s="1764" t="s">
        <v>701</v>
      </c>
      <c r="B6" s="1764"/>
      <c r="C6" s="1765" t="s">
        <v>331</v>
      </c>
      <c r="D6" s="1764" t="s">
        <v>329</v>
      </c>
      <c r="E6" s="1766">
        <v>15100</v>
      </c>
      <c r="F6" s="1767" t="s">
        <v>332</v>
      </c>
      <c r="G6" s="1754">
        <v>2830</v>
      </c>
      <c r="H6" s="1755" t="s">
        <v>526</v>
      </c>
    </row>
    <row r="7" spans="1:8" s="1754" customFormat="1" ht="94.5" customHeight="1">
      <c r="A7" s="1764" t="s">
        <v>702</v>
      </c>
      <c r="B7" s="1764"/>
      <c r="C7" s="1765" t="s">
        <v>326</v>
      </c>
      <c r="D7" s="1764" t="s">
        <v>333</v>
      </c>
      <c r="E7" s="1766">
        <v>13200</v>
      </c>
      <c r="F7" s="1767" t="s">
        <v>334</v>
      </c>
      <c r="G7" s="1754">
        <v>2820</v>
      </c>
      <c r="H7" s="1755" t="s">
        <v>526</v>
      </c>
    </row>
    <row r="8" spans="1:8" s="1754" customFormat="1" ht="107.25" customHeight="1">
      <c r="A8" s="1764" t="s">
        <v>703</v>
      </c>
      <c r="B8" s="1764"/>
      <c r="C8" s="1765" t="s">
        <v>335</v>
      </c>
      <c r="D8" s="1764" t="s">
        <v>165</v>
      </c>
      <c r="E8" s="1766">
        <v>3000</v>
      </c>
      <c r="F8" s="1767" t="s">
        <v>336</v>
      </c>
      <c r="G8" s="1754">
        <v>2820</v>
      </c>
      <c r="H8" s="1755" t="s">
        <v>526</v>
      </c>
    </row>
    <row r="9" spans="1:8" s="1754" customFormat="1" ht="94.5" customHeight="1">
      <c r="A9" s="1764" t="s">
        <v>704</v>
      </c>
      <c r="B9" s="1764"/>
      <c r="C9" s="1765" t="s">
        <v>337</v>
      </c>
      <c r="D9" s="1764" t="s">
        <v>165</v>
      </c>
      <c r="E9" s="1766">
        <v>8500</v>
      </c>
      <c r="F9" s="1767" t="s">
        <v>338</v>
      </c>
      <c r="H9" s="1755"/>
    </row>
    <row r="10" spans="1:8" s="1754" customFormat="1" ht="104.25" customHeight="1">
      <c r="A10" s="1764" t="s">
        <v>505</v>
      </c>
      <c r="B10" s="1764"/>
      <c r="C10" s="1765" t="s">
        <v>326</v>
      </c>
      <c r="D10" s="1764" t="s">
        <v>165</v>
      </c>
      <c r="E10" s="1766">
        <v>12100</v>
      </c>
      <c r="F10" s="1767" t="s">
        <v>339</v>
      </c>
      <c r="G10" s="1754">
        <v>2820</v>
      </c>
      <c r="H10" s="1755" t="s">
        <v>526</v>
      </c>
    </row>
    <row r="11" spans="1:8" s="1754" customFormat="1" ht="32.25" customHeight="1">
      <c r="A11" s="2044" t="s">
        <v>340</v>
      </c>
      <c r="B11" s="2045"/>
      <c r="C11" s="2045"/>
      <c r="D11" s="2046"/>
      <c r="E11" s="1768">
        <f>SUM(E4:E10)</f>
        <v>86000</v>
      </c>
      <c r="F11" s="1767"/>
      <c r="H11" s="1755"/>
    </row>
    <row r="12" spans="1:8" s="1754" customFormat="1" ht="94.5" customHeight="1">
      <c r="A12" s="1764" t="s">
        <v>341</v>
      </c>
      <c r="B12" s="1764"/>
      <c r="C12" s="1765" t="s">
        <v>342</v>
      </c>
      <c r="D12" s="1764" t="s">
        <v>346</v>
      </c>
      <c r="E12" s="1766">
        <v>6500</v>
      </c>
      <c r="F12" s="1767" t="s">
        <v>343</v>
      </c>
      <c r="G12" s="1754">
        <v>2820</v>
      </c>
      <c r="H12" s="1755" t="s">
        <v>526</v>
      </c>
    </row>
    <row r="13" spans="1:8" s="1754" customFormat="1" ht="94.5" customHeight="1">
      <c r="A13" s="1764" t="s">
        <v>344</v>
      </c>
      <c r="B13" s="1764"/>
      <c r="C13" s="1765" t="s">
        <v>345</v>
      </c>
      <c r="D13" s="1764" t="s">
        <v>346</v>
      </c>
      <c r="E13" s="1766">
        <v>2900</v>
      </c>
      <c r="F13" s="1767" t="s">
        <v>347</v>
      </c>
      <c r="H13" s="1755" t="s">
        <v>526</v>
      </c>
    </row>
    <row r="14" spans="1:8" s="1754" customFormat="1" ht="94.5" customHeight="1">
      <c r="A14" s="1764" t="s">
        <v>348</v>
      </c>
      <c r="B14" s="1764"/>
      <c r="C14" s="1765" t="s">
        <v>349</v>
      </c>
      <c r="D14" s="1764" t="s">
        <v>346</v>
      </c>
      <c r="E14" s="1766">
        <v>7800</v>
      </c>
      <c r="F14" s="1767" t="s">
        <v>350</v>
      </c>
      <c r="H14" s="1755" t="s">
        <v>526</v>
      </c>
    </row>
    <row r="15" spans="1:8" s="1754" customFormat="1" ht="94.5" customHeight="1">
      <c r="A15" s="1764" t="s">
        <v>351</v>
      </c>
      <c r="B15" s="1764"/>
      <c r="C15" s="1765" t="s">
        <v>335</v>
      </c>
      <c r="D15" s="1764" t="s">
        <v>346</v>
      </c>
      <c r="E15" s="1766">
        <v>2500</v>
      </c>
      <c r="F15" s="1767" t="s">
        <v>166</v>
      </c>
      <c r="G15" s="1754">
        <v>2820</v>
      </c>
      <c r="H15" s="1755" t="s">
        <v>526</v>
      </c>
    </row>
    <row r="16" spans="1:8" s="1754" customFormat="1" ht="94.5" customHeight="1">
      <c r="A16" s="1764" t="s">
        <v>352</v>
      </c>
      <c r="B16" s="1764"/>
      <c r="C16" s="1765" t="s">
        <v>335</v>
      </c>
      <c r="D16" s="1764" t="s">
        <v>346</v>
      </c>
      <c r="E16" s="1766">
        <v>1600</v>
      </c>
      <c r="F16" s="1767" t="s">
        <v>167</v>
      </c>
      <c r="G16" s="1754">
        <v>2820</v>
      </c>
      <c r="H16" s="1755" t="s">
        <v>526</v>
      </c>
    </row>
    <row r="17" spans="1:8" s="1754" customFormat="1" ht="115.5" customHeight="1">
      <c r="A17" s="1764" t="s">
        <v>353</v>
      </c>
      <c r="B17" s="1764"/>
      <c r="C17" s="1765" t="s">
        <v>354</v>
      </c>
      <c r="D17" s="1764" t="s">
        <v>346</v>
      </c>
      <c r="E17" s="1766">
        <v>1500</v>
      </c>
      <c r="F17" s="1767" t="s">
        <v>168</v>
      </c>
      <c r="G17" s="1754">
        <v>2820</v>
      </c>
      <c r="H17" s="1755" t="s">
        <v>526</v>
      </c>
    </row>
    <row r="18" spans="1:8" s="1754" customFormat="1" ht="94.5" customHeight="1">
      <c r="A18" s="1764" t="s">
        <v>355</v>
      </c>
      <c r="B18" s="1764"/>
      <c r="C18" s="1765" t="s">
        <v>356</v>
      </c>
      <c r="D18" s="1764" t="s">
        <v>346</v>
      </c>
      <c r="E18" s="1766">
        <v>1500</v>
      </c>
      <c r="F18" s="1767" t="s">
        <v>169</v>
      </c>
      <c r="G18" s="1754">
        <v>2820</v>
      </c>
      <c r="H18" s="1755" t="s">
        <v>526</v>
      </c>
    </row>
    <row r="19" spans="1:8" s="1754" customFormat="1" ht="111" customHeight="1">
      <c r="A19" s="1764" t="s">
        <v>357</v>
      </c>
      <c r="B19" s="1764"/>
      <c r="C19" s="1765" t="s">
        <v>356</v>
      </c>
      <c r="D19" s="1764" t="s">
        <v>346</v>
      </c>
      <c r="E19" s="1766">
        <v>1700</v>
      </c>
      <c r="F19" s="1767" t="s">
        <v>170</v>
      </c>
      <c r="G19" s="1754">
        <v>2820</v>
      </c>
      <c r="H19" s="1755" t="s">
        <v>526</v>
      </c>
    </row>
    <row r="20" spans="1:8" s="1754" customFormat="1" ht="32.25" customHeight="1" thickBot="1">
      <c r="A20" s="2044" t="s">
        <v>358</v>
      </c>
      <c r="B20" s="2045"/>
      <c r="C20" s="2045"/>
      <c r="D20" s="2046"/>
      <c r="E20" s="1768">
        <f>SUM(E12:E19)</f>
        <v>26000</v>
      </c>
      <c r="F20" s="1767"/>
      <c r="H20" s="1755"/>
    </row>
    <row r="21" spans="1:8" s="1754" customFormat="1" ht="47.25" customHeight="1" thickBot="1" thickTop="1">
      <c r="A21" s="1769"/>
      <c r="B21" s="2040" t="s">
        <v>359</v>
      </c>
      <c r="C21" s="2041"/>
      <c r="D21" s="1770"/>
      <c r="E21" s="1771">
        <f>E11+E20</f>
        <v>112000</v>
      </c>
      <c r="F21" s="1772"/>
      <c r="H21" s="1755"/>
    </row>
    <row r="22" ht="19.5" thickTop="1"/>
  </sheetData>
  <mergeCells count="4">
    <mergeCell ref="B21:C21"/>
    <mergeCell ref="A1:F1"/>
    <mergeCell ref="A11:D11"/>
    <mergeCell ref="A20:D20"/>
  </mergeCells>
  <printOptions horizontalCentered="1"/>
  <pageMargins left="0.3937007874015748" right="0.3937007874015748" top="0.7874015748031497" bottom="0.3937007874015748" header="0.2362204724409449" footer="0.1968503937007874"/>
  <pageSetup fitToHeight="2" fitToWidth="1" horizontalDpi="600" verticalDpi="600" orientation="portrait" paperSize="9" scale="58" r:id="rId1"/>
  <headerFooter alignWithMargins="0">
    <oddHeader>&amp;R&amp;"Times New Roman CE,Kursywa"&amp;24Załącznik Nr 11&amp;16
</oddHeader>
    <oddFooter>&amp;C&amp;"Times New Roman CE,Kursywa"&amp;16-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415"/>
  <sheetViews>
    <sheetView zoomScale="80" zoomScaleNormal="8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569" sqref="A1:M569"/>
    </sheetView>
  </sheetViews>
  <sheetFormatPr defaultColWidth="9.00390625" defaultRowHeight="12.75"/>
  <cols>
    <col min="1" max="1" width="7.75390625" style="139" customWidth="1"/>
    <col min="2" max="2" width="13.875" style="108" customWidth="1"/>
    <col min="3" max="3" width="4.25390625" style="1245" customWidth="1"/>
    <col min="4" max="4" width="2.25390625" style="24" customWidth="1"/>
    <col min="5" max="5" width="89.25390625" style="83" customWidth="1"/>
    <col min="6" max="6" width="20.875" style="88" bestFit="1" customWidth="1"/>
    <col min="7" max="7" width="20.625" style="33" bestFit="1" customWidth="1"/>
    <col min="8" max="8" width="20.75390625" style="33" bestFit="1" customWidth="1"/>
    <col min="9" max="9" width="21.25390625" style="33" bestFit="1" customWidth="1"/>
    <col min="10" max="10" width="20.25390625" style="33" bestFit="1" customWidth="1"/>
    <col min="11" max="11" width="18.875" style="33" bestFit="1" customWidth="1"/>
    <col min="12" max="12" width="23.125" style="33" bestFit="1" customWidth="1"/>
    <col min="13" max="13" width="22.375" style="29" customWidth="1"/>
    <col min="14" max="16384" width="11.375" style="1" customWidth="1"/>
  </cols>
  <sheetData>
    <row r="1" spans="1:13" s="18" customFormat="1" ht="27.75" customHeight="1">
      <c r="A1" s="2047" t="s">
        <v>708</v>
      </c>
      <c r="B1" s="144" t="s">
        <v>707</v>
      </c>
      <c r="C1" s="1146"/>
      <c r="D1" s="145"/>
      <c r="E1" s="2049" t="s">
        <v>710</v>
      </c>
      <c r="F1" s="2051" t="s">
        <v>714</v>
      </c>
      <c r="G1" s="2052"/>
      <c r="H1" s="2052"/>
      <c r="I1" s="2052"/>
      <c r="J1" s="2052"/>
      <c r="K1" s="2052"/>
      <c r="L1" s="2052"/>
      <c r="M1" s="2053"/>
    </row>
    <row r="2" spans="1:13" s="18" customFormat="1" ht="133.5" customHeight="1">
      <c r="A2" s="2048"/>
      <c r="B2" s="143" t="s">
        <v>709</v>
      </c>
      <c r="C2" s="1147"/>
      <c r="D2" s="26"/>
      <c r="E2" s="2050"/>
      <c r="F2" s="135" t="s">
        <v>712</v>
      </c>
      <c r="G2" s="136" t="s">
        <v>713</v>
      </c>
      <c r="H2" s="137" t="s">
        <v>519</v>
      </c>
      <c r="I2" s="137" t="s">
        <v>520</v>
      </c>
      <c r="J2" s="135" t="s">
        <v>715</v>
      </c>
      <c r="K2" s="135" t="s">
        <v>518</v>
      </c>
      <c r="L2" s="135" t="s">
        <v>521</v>
      </c>
      <c r="M2" s="138" t="s">
        <v>711</v>
      </c>
    </row>
    <row r="3" spans="1:13" s="3" customFormat="1" ht="47.25" customHeight="1">
      <c r="A3" s="151">
        <v>1</v>
      </c>
      <c r="B3" s="152" t="s">
        <v>524</v>
      </c>
      <c r="C3" s="1148"/>
      <c r="D3" s="154"/>
      <c r="E3" s="155" t="s">
        <v>525</v>
      </c>
      <c r="F3" s="156">
        <f>+F4</f>
        <v>0</v>
      </c>
      <c r="G3" s="156">
        <f aca="true" t="shared" si="0" ref="G3:L3">+G4</f>
        <v>0</v>
      </c>
      <c r="H3" s="156">
        <f t="shared" si="0"/>
        <v>0</v>
      </c>
      <c r="I3" s="156">
        <f t="shared" si="0"/>
        <v>0</v>
      </c>
      <c r="J3" s="156">
        <f t="shared" si="0"/>
        <v>0</v>
      </c>
      <c r="K3" s="156">
        <f t="shared" si="0"/>
        <v>0</v>
      </c>
      <c r="L3" s="156">
        <f t="shared" si="0"/>
        <v>12000</v>
      </c>
      <c r="M3" s="156">
        <f>+M4</f>
        <v>12000</v>
      </c>
    </row>
    <row r="4" spans="1:13" s="47" customFormat="1" ht="45" customHeight="1">
      <c r="A4" s="173"/>
      <c r="B4" s="174" t="s">
        <v>527</v>
      </c>
      <c r="C4" s="1151"/>
      <c r="D4" s="175"/>
      <c r="E4" s="176" t="s">
        <v>528</v>
      </c>
      <c r="F4" s="177">
        <f>F5</f>
        <v>0</v>
      </c>
      <c r="G4" s="178">
        <f aca="true" t="shared" si="1" ref="G4:M4">G5</f>
        <v>0</v>
      </c>
      <c r="H4" s="177">
        <f t="shared" si="1"/>
        <v>0</v>
      </c>
      <c r="I4" s="177">
        <f t="shared" si="1"/>
        <v>0</v>
      </c>
      <c r="J4" s="177">
        <f t="shared" si="1"/>
        <v>0</v>
      </c>
      <c r="K4" s="177">
        <f t="shared" si="1"/>
        <v>0</v>
      </c>
      <c r="L4" s="177">
        <f t="shared" si="1"/>
        <v>12000</v>
      </c>
      <c r="M4" s="177">
        <f t="shared" si="1"/>
        <v>12000</v>
      </c>
    </row>
    <row r="5" spans="1:13" s="45" customFormat="1" ht="53.25" customHeight="1">
      <c r="A5" s="179"/>
      <c r="B5" s="180"/>
      <c r="C5" s="1152">
        <v>1</v>
      </c>
      <c r="D5" s="181"/>
      <c r="E5" s="182" t="s">
        <v>529</v>
      </c>
      <c r="F5" s="183"/>
      <c r="G5" s="184"/>
      <c r="H5" s="185"/>
      <c r="I5" s="185"/>
      <c r="J5" s="185"/>
      <c r="K5" s="186"/>
      <c r="L5" s="185">
        <v>12000</v>
      </c>
      <c r="M5" s="187">
        <f>L5</f>
        <v>12000</v>
      </c>
    </row>
    <row r="6" spans="1:13" s="3" customFormat="1" ht="61.5" customHeight="1">
      <c r="A6" s="151">
        <v>2</v>
      </c>
      <c r="B6" s="152">
        <v>400</v>
      </c>
      <c r="C6" s="1148"/>
      <c r="D6" s="154"/>
      <c r="E6" s="155" t="s">
        <v>631</v>
      </c>
      <c r="F6" s="156">
        <f>F7</f>
        <v>0</v>
      </c>
      <c r="G6" s="156">
        <f aca="true" t="shared" si="2" ref="G6:K7">G7</f>
        <v>0</v>
      </c>
      <c r="H6" s="156">
        <f t="shared" si="2"/>
        <v>0</v>
      </c>
      <c r="I6" s="156">
        <f t="shared" si="2"/>
        <v>0</v>
      </c>
      <c r="J6" s="156">
        <f t="shared" si="2"/>
        <v>0</v>
      </c>
      <c r="K6" s="156">
        <f t="shared" si="2"/>
        <v>0</v>
      </c>
      <c r="L6" s="156">
        <f>L7</f>
        <v>5000</v>
      </c>
      <c r="M6" s="156">
        <f>M7</f>
        <v>5000</v>
      </c>
    </row>
    <row r="7" spans="1:13" s="47" customFormat="1" ht="52.5" customHeight="1">
      <c r="A7" s="173"/>
      <c r="B7" s="174">
        <v>40095</v>
      </c>
      <c r="C7" s="1151"/>
      <c r="D7" s="175"/>
      <c r="E7" s="176" t="s">
        <v>24</v>
      </c>
      <c r="F7" s="177">
        <f>F8</f>
        <v>0</v>
      </c>
      <c r="G7" s="177">
        <f t="shared" si="2"/>
        <v>0</v>
      </c>
      <c r="H7" s="177">
        <f t="shared" si="2"/>
        <v>0</v>
      </c>
      <c r="I7" s="177">
        <f t="shared" si="2"/>
        <v>0</v>
      </c>
      <c r="J7" s="177">
        <f t="shared" si="2"/>
        <v>0</v>
      </c>
      <c r="K7" s="177">
        <f t="shared" si="2"/>
        <v>0</v>
      </c>
      <c r="L7" s="177">
        <f>L8</f>
        <v>5000</v>
      </c>
      <c r="M7" s="177">
        <f>M8</f>
        <v>5000</v>
      </c>
    </row>
    <row r="8" spans="1:13" s="45" customFormat="1" ht="61.5" customHeight="1">
      <c r="A8" s="179"/>
      <c r="B8" s="180"/>
      <c r="C8" s="1152">
        <v>1</v>
      </c>
      <c r="D8" s="181"/>
      <c r="E8" s="182" t="s">
        <v>632</v>
      </c>
      <c r="F8" s="183"/>
      <c r="G8" s="184"/>
      <c r="H8" s="186"/>
      <c r="I8" s="186"/>
      <c r="J8" s="186"/>
      <c r="K8" s="186"/>
      <c r="L8" s="186">
        <v>5000</v>
      </c>
      <c r="M8" s="726">
        <f>SUM(F8:L8)</f>
        <v>5000</v>
      </c>
    </row>
    <row r="9" spans="1:13" s="46" customFormat="1" ht="48" customHeight="1">
      <c r="A9" s="151">
        <v>3</v>
      </c>
      <c r="B9" s="152">
        <v>600</v>
      </c>
      <c r="C9" s="1148"/>
      <c r="D9" s="154"/>
      <c r="E9" s="155" t="s">
        <v>25</v>
      </c>
      <c r="F9" s="156">
        <f>F10</f>
        <v>0</v>
      </c>
      <c r="G9" s="188">
        <f aca="true" t="shared" si="3" ref="G9:M9">G10</f>
        <v>0</v>
      </c>
      <c r="H9" s="188">
        <f t="shared" si="3"/>
        <v>0</v>
      </c>
      <c r="I9" s="188">
        <f t="shared" si="3"/>
        <v>0</v>
      </c>
      <c r="J9" s="188">
        <f t="shared" si="3"/>
        <v>0</v>
      </c>
      <c r="K9" s="188">
        <f t="shared" si="3"/>
        <v>0</v>
      </c>
      <c r="L9" s="188">
        <f t="shared" si="3"/>
        <v>3282176</v>
      </c>
      <c r="M9" s="157">
        <f t="shared" si="3"/>
        <v>3282176</v>
      </c>
    </row>
    <row r="10" spans="1:13" s="46" customFormat="1" ht="44.25" customHeight="1">
      <c r="A10" s="158"/>
      <c r="B10" s="189">
        <v>60016</v>
      </c>
      <c r="C10" s="1149"/>
      <c r="D10" s="160"/>
      <c r="E10" s="161" t="s">
        <v>26</v>
      </c>
      <c r="F10" s="162">
        <f aca="true" t="shared" si="4" ref="F10:K10">SUM(F11:F28)</f>
        <v>0</v>
      </c>
      <c r="G10" s="163">
        <f t="shared" si="4"/>
        <v>0</v>
      </c>
      <c r="H10" s="163">
        <f t="shared" si="4"/>
        <v>0</v>
      </c>
      <c r="I10" s="163">
        <f t="shared" si="4"/>
        <v>0</v>
      </c>
      <c r="J10" s="163">
        <f t="shared" si="4"/>
        <v>0</v>
      </c>
      <c r="K10" s="163">
        <f t="shared" si="4"/>
        <v>0</v>
      </c>
      <c r="L10" s="163">
        <f>SUM(L11:L30)</f>
        <v>3282176</v>
      </c>
      <c r="M10" s="190">
        <f>SUM(F10:L10)</f>
        <v>3282176</v>
      </c>
    </row>
    <row r="11" spans="1:24" s="46" customFormat="1" ht="66" customHeight="1">
      <c r="A11" s="158"/>
      <c r="B11" s="166"/>
      <c r="C11" s="1150">
        <v>1</v>
      </c>
      <c r="D11" s="167"/>
      <c r="E11" s="191" t="s">
        <v>163</v>
      </c>
      <c r="F11" s="192"/>
      <c r="G11" s="193"/>
      <c r="H11" s="194"/>
      <c r="I11" s="194"/>
      <c r="J11" s="194"/>
      <c r="K11" s="195"/>
      <c r="L11" s="193">
        <v>1000000</v>
      </c>
      <c r="M11" s="195">
        <f>SUM(F11:L11)</f>
        <v>1000000</v>
      </c>
      <c r="X11" s="135"/>
    </row>
    <row r="12" spans="1:13" s="46" customFormat="1" ht="62.25" customHeight="1">
      <c r="A12" s="158"/>
      <c r="B12" s="166"/>
      <c r="C12" s="1150">
        <v>2</v>
      </c>
      <c r="D12" s="1897"/>
      <c r="E12" s="191" t="s">
        <v>47</v>
      </c>
      <c r="F12" s="197"/>
      <c r="G12" s="198"/>
      <c r="H12" s="202"/>
      <c r="I12" s="202"/>
      <c r="J12" s="202"/>
      <c r="K12" s="200"/>
      <c r="L12" s="203">
        <v>200000</v>
      </c>
      <c r="M12" s="195">
        <f aca="true" t="shared" si="5" ref="M12:M30">SUM(F12:L12)</f>
        <v>200000</v>
      </c>
    </row>
    <row r="13" spans="1:13" s="46" customFormat="1" ht="55.5" customHeight="1">
      <c r="A13" s="207"/>
      <c r="B13" s="208"/>
      <c r="C13" s="1150">
        <v>3</v>
      </c>
      <c r="D13" s="214"/>
      <c r="E13" s="215" t="s">
        <v>136</v>
      </c>
      <c r="F13" s="216"/>
      <c r="G13" s="217"/>
      <c r="H13" s="218"/>
      <c r="I13" s="218"/>
      <c r="J13" s="218"/>
      <c r="K13" s="219"/>
      <c r="L13" s="186">
        <f>300000-150000</f>
        <v>150000</v>
      </c>
      <c r="M13" s="187">
        <f t="shared" si="5"/>
        <v>150000</v>
      </c>
    </row>
    <row r="14" spans="1:13" s="28" customFormat="1" ht="61.5" customHeight="1">
      <c r="A14" s="220"/>
      <c r="B14" s="221"/>
      <c r="C14" s="1153">
        <v>4</v>
      </c>
      <c r="D14" s="222"/>
      <c r="E14" s="223" t="s">
        <v>760</v>
      </c>
      <c r="F14" s="224"/>
      <c r="G14" s="225"/>
      <c r="H14" s="226"/>
      <c r="I14" s="226"/>
      <c r="J14" s="226"/>
      <c r="K14" s="226"/>
      <c r="L14" s="227">
        <v>285000</v>
      </c>
      <c r="M14" s="228">
        <f t="shared" si="5"/>
        <v>285000</v>
      </c>
    </row>
    <row r="15" spans="1:13" s="28" customFormat="1" ht="60.75" customHeight="1">
      <c r="A15" s="220"/>
      <c r="B15" s="221"/>
      <c r="C15" s="1153">
        <v>5</v>
      </c>
      <c r="D15" s="222"/>
      <c r="E15" s="223" t="s">
        <v>761</v>
      </c>
      <c r="F15" s="224"/>
      <c r="G15" s="225"/>
      <c r="H15" s="226"/>
      <c r="I15" s="226"/>
      <c r="J15" s="226"/>
      <c r="K15" s="226"/>
      <c r="L15" s="227">
        <v>240000</v>
      </c>
      <c r="M15" s="228">
        <f t="shared" si="5"/>
        <v>240000</v>
      </c>
    </row>
    <row r="16" spans="1:13" s="28" customFormat="1" ht="61.5" customHeight="1">
      <c r="A16" s="220"/>
      <c r="B16" s="221"/>
      <c r="C16" s="1153">
        <v>6</v>
      </c>
      <c r="D16" s="222"/>
      <c r="E16" s="223" t="s">
        <v>767</v>
      </c>
      <c r="F16" s="224"/>
      <c r="G16" s="225"/>
      <c r="H16" s="226"/>
      <c r="I16" s="226"/>
      <c r="J16" s="226"/>
      <c r="K16" s="226"/>
      <c r="L16" s="227">
        <v>150000</v>
      </c>
      <c r="M16" s="228">
        <f t="shared" si="5"/>
        <v>150000</v>
      </c>
    </row>
    <row r="17" spans="1:13" s="28" customFormat="1" ht="60.75" customHeight="1">
      <c r="A17" s="220"/>
      <c r="B17" s="221"/>
      <c r="C17" s="1153">
        <v>7</v>
      </c>
      <c r="D17" s="222"/>
      <c r="E17" s="223" t="s">
        <v>762</v>
      </c>
      <c r="F17" s="224"/>
      <c r="G17" s="225"/>
      <c r="H17" s="226"/>
      <c r="I17" s="226"/>
      <c r="J17" s="226"/>
      <c r="K17" s="226"/>
      <c r="L17" s="227">
        <v>200000</v>
      </c>
      <c r="M17" s="228">
        <f t="shared" si="5"/>
        <v>200000</v>
      </c>
    </row>
    <row r="18" spans="1:13" s="28" customFormat="1" ht="106.5" customHeight="1">
      <c r="A18" s="220"/>
      <c r="B18" s="221"/>
      <c r="C18" s="1153">
        <v>8</v>
      </c>
      <c r="D18" s="222"/>
      <c r="E18" s="223" t="s">
        <v>768</v>
      </c>
      <c r="F18" s="224"/>
      <c r="G18" s="225"/>
      <c r="H18" s="226"/>
      <c r="I18" s="226"/>
      <c r="J18" s="226"/>
      <c r="K18" s="226"/>
      <c r="L18" s="227">
        <v>50000</v>
      </c>
      <c r="M18" s="228">
        <f t="shared" si="5"/>
        <v>50000</v>
      </c>
    </row>
    <row r="19" spans="1:13" s="28" customFormat="1" ht="62.25" customHeight="1">
      <c r="A19" s="220"/>
      <c r="B19" s="221"/>
      <c r="C19" s="1153">
        <v>9</v>
      </c>
      <c r="D19" s="222"/>
      <c r="E19" s="223" t="s">
        <v>45</v>
      </c>
      <c r="F19" s="224"/>
      <c r="G19" s="225"/>
      <c r="H19" s="226"/>
      <c r="I19" s="226"/>
      <c r="J19" s="226"/>
      <c r="K19" s="226"/>
      <c r="L19" s="227">
        <v>25000</v>
      </c>
      <c r="M19" s="228">
        <f t="shared" si="5"/>
        <v>25000</v>
      </c>
    </row>
    <row r="20" spans="1:13" s="28" customFormat="1" ht="83.25" customHeight="1">
      <c r="A20" s="220"/>
      <c r="B20" s="221"/>
      <c r="C20" s="1153">
        <v>10</v>
      </c>
      <c r="D20" s="222"/>
      <c r="E20" s="223" t="s">
        <v>244</v>
      </c>
      <c r="F20" s="224"/>
      <c r="G20" s="225"/>
      <c r="H20" s="226"/>
      <c r="I20" s="226"/>
      <c r="J20" s="226"/>
      <c r="K20" s="226"/>
      <c r="L20" s="227">
        <v>100000</v>
      </c>
      <c r="M20" s="228">
        <f t="shared" si="5"/>
        <v>100000</v>
      </c>
    </row>
    <row r="21" spans="1:13" s="28" customFormat="1" ht="55.5" customHeight="1">
      <c r="A21" s="220"/>
      <c r="B21" s="221"/>
      <c r="C21" s="1153">
        <v>11</v>
      </c>
      <c r="D21" s="222"/>
      <c r="E21" s="223" t="s">
        <v>245</v>
      </c>
      <c r="F21" s="224"/>
      <c r="G21" s="225"/>
      <c r="H21" s="226"/>
      <c r="I21" s="226"/>
      <c r="J21" s="226"/>
      <c r="K21" s="226"/>
      <c r="L21" s="227">
        <v>15000</v>
      </c>
      <c r="M21" s="228">
        <f t="shared" si="5"/>
        <v>15000</v>
      </c>
    </row>
    <row r="22" spans="1:13" s="28" customFormat="1" ht="33" customHeight="1">
      <c r="A22" s="220"/>
      <c r="B22" s="221"/>
      <c r="C22" s="1153">
        <v>12</v>
      </c>
      <c r="D22" s="222"/>
      <c r="E22" s="223" t="s">
        <v>745</v>
      </c>
      <c r="F22" s="224"/>
      <c r="G22" s="225"/>
      <c r="H22" s="226"/>
      <c r="I22" s="226"/>
      <c r="J22" s="226"/>
      <c r="K22" s="226"/>
      <c r="L22" s="227">
        <v>6000</v>
      </c>
      <c r="M22" s="228">
        <f t="shared" si="5"/>
        <v>6000</v>
      </c>
    </row>
    <row r="23" spans="1:13" s="28" customFormat="1" ht="81.75" customHeight="1">
      <c r="A23" s="220"/>
      <c r="B23" s="221"/>
      <c r="C23" s="1153">
        <v>13</v>
      </c>
      <c r="D23" s="222"/>
      <c r="E23" s="223" t="s">
        <v>246</v>
      </c>
      <c r="F23" s="224"/>
      <c r="G23" s="225"/>
      <c r="H23" s="226"/>
      <c r="I23" s="226"/>
      <c r="J23" s="226"/>
      <c r="K23" s="226"/>
      <c r="L23" s="227">
        <v>100000</v>
      </c>
      <c r="M23" s="228">
        <f t="shared" si="5"/>
        <v>100000</v>
      </c>
    </row>
    <row r="24" spans="1:13" s="28" customFormat="1" ht="43.5" customHeight="1">
      <c r="A24" s="220"/>
      <c r="B24" s="221"/>
      <c r="C24" s="1153">
        <v>14</v>
      </c>
      <c r="D24" s="222"/>
      <c r="E24" s="223" t="s">
        <v>403</v>
      </c>
      <c r="F24" s="224"/>
      <c r="G24" s="225"/>
      <c r="H24" s="226"/>
      <c r="I24" s="226"/>
      <c r="J24" s="226"/>
      <c r="K24" s="226"/>
      <c r="L24" s="227">
        <v>30000</v>
      </c>
      <c r="M24" s="228">
        <f t="shared" si="5"/>
        <v>30000</v>
      </c>
    </row>
    <row r="25" spans="1:13" s="28" customFormat="1" ht="85.5" customHeight="1">
      <c r="A25" s="220"/>
      <c r="B25" s="221"/>
      <c r="C25" s="1153">
        <v>15</v>
      </c>
      <c r="D25" s="222"/>
      <c r="E25" s="223" t="s">
        <v>404</v>
      </c>
      <c r="F25" s="224"/>
      <c r="G25" s="225"/>
      <c r="H25" s="226"/>
      <c r="I25" s="226"/>
      <c r="J25" s="226"/>
      <c r="K25" s="226"/>
      <c r="L25" s="227">
        <v>15000</v>
      </c>
      <c r="M25" s="228">
        <f t="shared" si="5"/>
        <v>15000</v>
      </c>
    </row>
    <row r="26" spans="1:13" s="28" customFormat="1" ht="57.75" customHeight="1">
      <c r="A26" s="220"/>
      <c r="B26" s="221"/>
      <c r="C26" s="1153">
        <v>16</v>
      </c>
      <c r="D26" s="222"/>
      <c r="E26" s="223" t="s">
        <v>419</v>
      </c>
      <c r="F26" s="224"/>
      <c r="G26" s="225"/>
      <c r="H26" s="226"/>
      <c r="I26" s="226"/>
      <c r="J26" s="226"/>
      <c r="K26" s="226"/>
      <c r="L26" s="227">
        <v>30000</v>
      </c>
      <c r="M26" s="228">
        <f t="shared" si="5"/>
        <v>30000</v>
      </c>
    </row>
    <row r="27" spans="1:13" s="28" customFormat="1" ht="63.75" customHeight="1">
      <c r="A27" s="220"/>
      <c r="B27" s="221"/>
      <c r="C27" s="1153">
        <v>17</v>
      </c>
      <c r="D27" s="222"/>
      <c r="E27" s="223" t="s">
        <v>1023</v>
      </c>
      <c r="F27" s="224"/>
      <c r="G27" s="225"/>
      <c r="H27" s="226"/>
      <c r="I27" s="226"/>
      <c r="J27" s="226"/>
      <c r="K27" s="226"/>
      <c r="L27" s="227">
        <v>40000</v>
      </c>
      <c r="M27" s="228">
        <f t="shared" si="5"/>
        <v>40000</v>
      </c>
    </row>
    <row r="28" spans="1:13" s="28" customFormat="1" ht="63.75" customHeight="1">
      <c r="A28" s="220"/>
      <c r="B28" s="221"/>
      <c r="C28" s="1153">
        <v>18</v>
      </c>
      <c r="D28" s="222"/>
      <c r="E28" s="223" t="s">
        <v>766</v>
      </c>
      <c r="F28" s="224"/>
      <c r="G28" s="225"/>
      <c r="H28" s="226"/>
      <c r="I28" s="226"/>
      <c r="J28" s="226"/>
      <c r="K28" s="226"/>
      <c r="L28" s="227">
        <v>30000</v>
      </c>
      <c r="M28" s="228">
        <f t="shared" si="5"/>
        <v>30000</v>
      </c>
    </row>
    <row r="29" spans="1:13" s="28" customFormat="1" ht="63.75" customHeight="1">
      <c r="A29" s="1949"/>
      <c r="B29" s="1970"/>
      <c r="C29" s="1153">
        <v>19</v>
      </c>
      <c r="D29" s="1971"/>
      <c r="E29" s="223" t="s">
        <v>633</v>
      </c>
      <c r="F29" s="224"/>
      <c r="G29" s="225"/>
      <c r="H29" s="225"/>
      <c r="I29" s="225"/>
      <c r="J29" s="225"/>
      <c r="K29" s="225"/>
      <c r="L29" s="1539">
        <v>13019</v>
      </c>
      <c r="M29" s="1972">
        <f t="shared" si="5"/>
        <v>13019</v>
      </c>
    </row>
    <row r="30" spans="1:13" s="28" customFormat="1" ht="63.75" customHeight="1">
      <c r="A30" s="1949"/>
      <c r="B30" s="1970"/>
      <c r="C30" s="1157">
        <v>12</v>
      </c>
      <c r="E30" s="422" t="s">
        <v>922</v>
      </c>
      <c r="F30" s="985"/>
      <c r="G30" s="1950"/>
      <c r="H30" s="1950"/>
      <c r="I30" s="1950"/>
      <c r="J30" s="1950"/>
      <c r="K30" s="1950"/>
      <c r="L30" s="1951">
        <v>603157</v>
      </c>
      <c r="M30" s="1952">
        <f t="shared" si="5"/>
        <v>603157</v>
      </c>
    </row>
    <row r="31" spans="1:13" s="46" customFormat="1" ht="48" customHeight="1">
      <c r="A31" s="151">
        <v>4</v>
      </c>
      <c r="B31" s="152">
        <v>700</v>
      </c>
      <c r="C31" s="1148"/>
      <c r="D31" s="154"/>
      <c r="E31" s="155" t="s">
        <v>753</v>
      </c>
      <c r="F31" s="156">
        <f aca="true" t="shared" si="6" ref="F31:M31">F32+F62</f>
        <v>0</v>
      </c>
      <c r="G31" s="188">
        <f t="shared" si="6"/>
        <v>0</v>
      </c>
      <c r="H31" s="188">
        <f t="shared" si="6"/>
        <v>0</v>
      </c>
      <c r="I31" s="188">
        <f t="shared" si="6"/>
        <v>0</v>
      </c>
      <c r="J31" s="188">
        <f t="shared" si="6"/>
        <v>0</v>
      </c>
      <c r="K31" s="188">
        <f t="shared" si="6"/>
        <v>0</v>
      </c>
      <c r="L31" s="188">
        <f t="shared" si="6"/>
        <v>495000</v>
      </c>
      <c r="M31" s="157">
        <f t="shared" si="6"/>
        <v>495000</v>
      </c>
    </row>
    <row r="32" spans="1:13" s="38" customFormat="1" ht="45" customHeight="1">
      <c r="A32" s="236"/>
      <c r="B32" s="237">
        <v>70005</v>
      </c>
      <c r="C32" s="1155"/>
      <c r="D32" s="238"/>
      <c r="E32" s="239" t="s">
        <v>754</v>
      </c>
      <c r="F32" s="240">
        <f>SUM(F33:F61)</f>
        <v>0</v>
      </c>
      <c r="G32" s="241">
        <f aca="true" t="shared" si="7" ref="G32:M32">SUM(G33:G61)</f>
        <v>0</v>
      </c>
      <c r="H32" s="241">
        <f t="shared" si="7"/>
        <v>0</v>
      </c>
      <c r="I32" s="241">
        <f t="shared" si="7"/>
        <v>0</v>
      </c>
      <c r="J32" s="241">
        <f t="shared" si="7"/>
        <v>0</v>
      </c>
      <c r="K32" s="241">
        <f t="shared" si="7"/>
        <v>0</v>
      </c>
      <c r="L32" s="241">
        <f t="shared" si="7"/>
        <v>323000</v>
      </c>
      <c r="M32" s="241">
        <f t="shared" si="7"/>
        <v>323000</v>
      </c>
    </row>
    <row r="33" spans="1:13" s="38" customFormat="1" ht="106.5" customHeight="1">
      <c r="A33" s="400"/>
      <c r="B33" s="316"/>
      <c r="C33" s="1156">
        <v>1</v>
      </c>
      <c r="D33" s="747"/>
      <c r="E33" s="1521" t="s">
        <v>801</v>
      </c>
      <c r="F33" s="1522"/>
      <c r="G33" s="1523"/>
      <c r="H33" s="1522"/>
      <c r="I33" s="1522"/>
      <c r="J33" s="1522"/>
      <c r="K33" s="1522"/>
      <c r="L33" s="1524">
        <v>6000</v>
      </c>
      <c r="M33" s="1524">
        <f>SUM(F33:L33)</f>
        <v>6000</v>
      </c>
    </row>
    <row r="34" spans="1:13" s="41" customFormat="1" ht="52.5" customHeight="1">
      <c r="A34" s="249"/>
      <c r="B34" s="243"/>
      <c r="C34" s="1154">
        <v>2</v>
      </c>
      <c r="D34" s="250"/>
      <c r="E34" s="251" t="s">
        <v>425</v>
      </c>
      <c r="F34" s="252"/>
      <c r="G34" s="253"/>
      <c r="H34" s="252"/>
      <c r="I34" s="252"/>
      <c r="J34" s="252"/>
      <c r="K34" s="252"/>
      <c r="L34" s="254">
        <v>97000</v>
      </c>
      <c r="M34" s="254">
        <f>SUM(F34:L34)</f>
        <v>97000</v>
      </c>
    </row>
    <row r="35" spans="1:13" s="39" customFormat="1" ht="36.75" customHeight="1">
      <c r="A35" s="255"/>
      <c r="B35" s="256"/>
      <c r="C35" s="1157"/>
      <c r="D35" s="258"/>
      <c r="E35" s="259" t="s">
        <v>706</v>
      </c>
      <c r="F35" s="260"/>
      <c r="G35" s="261"/>
      <c r="H35" s="260"/>
      <c r="I35" s="260"/>
      <c r="J35" s="260"/>
      <c r="K35" s="260"/>
      <c r="L35" s="262"/>
      <c r="M35" s="262"/>
    </row>
    <row r="36" spans="1:13" s="39" customFormat="1" ht="66" customHeight="1">
      <c r="A36" s="255"/>
      <c r="B36" s="256"/>
      <c r="C36" s="1157"/>
      <c r="D36" s="263" t="s">
        <v>705</v>
      </c>
      <c r="E36" s="264" t="s">
        <v>802</v>
      </c>
      <c r="F36" s="260"/>
      <c r="G36" s="261"/>
      <c r="H36" s="260"/>
      <c r="I36" s="260"/>
      <c r="J36" s="260"/>
      <c r="K36" s="260"/>
      <c r="L36" s="262"/>
      <c r="M36" s="262"/>
    </row>
    <row r="37" spans="1:13" s="39" customFormat="1" ht="66" customHeight="1">
      <c r="A37" s="255"/>
      <c r="B37" s="256"/>
      <c r="C37" s="1157"/>
      <c r="D37" s="263" t="s">
        <v>705</v>
      </c>
      <c r="E37" s="264" t="s">
        <v>803</v>
      </c>
      <c r="F37" s="260"/>
      <c r="G37" s="261"/>
      <c r="H37" s="260"/>
      <c r="I37" s="260"/>
      <c r="J37" s="260"/>
      <c r="K37" s="260"/>
      <c r="L37" s="262"/>
      <c r="M37" s="262"/>
    </row>
    <row r="38" spans="1:13" s="39" customFormat="1" ht="66" customHeight="1">
      <c r="A38" s="255"/>
      <c r="B38" s="256"/>
      <c r="C38" s="1157"/>
      <c r="D38" s="263" t="s">
        <v>705</v>
      </c>
      <c r="E38" s="265" t="s">
        <v>804</v>
      </c>
      <c r="F38" s="260"/>
      <c r="G38" s="261"/>
      <c r="H38" s="260"/>
      <c r="I38" s="260"/>
      <c r="J38" s="260"/>
      <c r="K38" s="260"/>
      <c r="L38" s="262"/>
      <c r="M38" s="262"/>
    </row>
    <row r="39" spans="1:13" s="39" customFormat="1" ht="34.5" customHeight="1">
      <c r="A39" s="255"/>
      <c r="B39" s="256"/>
      <c r="C39" s="1156"/>
      <c r="D39" s="266" t="s">
        <v>705</v>
      </c>
      <c r="E39" s="267" t="s">
        <v>805</v>
      </c>
      <c r="F39" s="268"/>
      <c r="G39" s="269"/>
      <c r="H39" s="268"/>
      <c r="I39" s="268"/>
      <c r="J39" s="268"/>
      <c r="K39" s="268"/>
      <c r="L39" s="270"/>
      <c r="M39" s="270"/>
    </row>
    <row r="40" spans="1:13" s="42" customFormat="1" ht="34.5" customHeight="1">
      <c r="A40" s="271"/>
      <c r="B40" s="272"/>
      <c r="C40" s="1154">
        <v>3</v>
      </c>
      <c r="D40" s="273"/>
      <c r="E40" s="251" t="s">
        <v>806</v>
      </c>
      <c r="F40" s="274"/>
      <c r="G40" s="275"/>
      <c r="H40" s="274"/>
      <c r="I40" s="274"/>
      <c r="J40" s="274"/>
      <c r="K40" s="274"/>
      <c r="L40" s="254">
        <v>6000</v>
      </c>
      <c r="M40" s="254">
        <f>SUM(F40:L40)</f>
        <v>6000</v>
      </c>
    </row>
    <row r="41" spans="1:13" s="39" customFormat="1" ht="73.5" customHeight="1">
      <c r="A41" s="255"/>
      <c r="B41" s="256"/>
      <c r="C41" s="1156"/>
      <c r="D41" s="266" t="s">
        <v>705</v>
      </c>
      <c r="E41" s="276" t="s">
        <v>807</v>
      </c>
      <c r="F41" s="268"/>
      <c r="G41" s="269"/>
      <c r="H41" s="268"/>
      <c r="I41" s="268"/>
      <c r="J41" s="268"/>
      <c r="K41" s="268"/>
      <c r="L41" s="270"/>
      <c r="M41" s="270"/>
    </row>
    <row r="42" spans="1:13" s="42" customFormat="1" ht="29.25" customHeight="1">
      <c r="A42" s="271"/>
      <c r="B42" s="272"/>
      <c r="C42" s="1154">
        <v>4</v>
      </c>
      <c r="D42" s="273"/>
      <c r="E42" s="251" t="s">
        <v>1021</v>
      </c>
      <c r="F42" s="274"/>
      <c r="G42" s="275"/>
      <c r="H42" s="274"/>
      <c r="I42" s="274"/>
      <c r="J42" s="274"/>
      <c r="K42" s="274"/>
      <c r="L42" s="254">
        <f>107000-80000</f>
        <v>27000</v>
      </c>
      <c r="M42" s="254">
        <f>SUM(F42:L42)</f>
        <v>27000</v>
      </c>
    </row>
    <row r="43" spans="1:13" s="39" customFormat="1" ht="36.75" customHeight="1">
      <c r="A43" s="255"/>
      <c r="B43" s="256"/>
      <c r="C43" s="1157"/>
      <c r="D43" s="263" t="s">
        <v>705</v>
      </c>
      <c r="E43" s="264" t="s">
        <v>808</v>
      </c>
      <c r="F43" s="260"/>
      <c r="G43" s="261"/>
      <c r="H43" s="260"/>
      <c r="I43" s="260"/>
      <c r="J43" s="260"/>
      <c r="K43" s="260"/>
      <c r="L43" s="262"/>
      <c r="M43" s="262"/>
    </row>
    <row r="44" spans="1:13" s="39" customFormat="1" ht="36.75" customHeight="1">
      <c r="A44" s="255"/>
      <c r="B44" s="256"/>
      <c r="C44" s="1157"/>
      <c r="D44" s="263" t="s">
        <v>705</v>
      </c>
      <c r="E44" s="264" t="s">
        <v>810</v>
      </c>
      <c r="F44" s="260"/>
      <c r="G44" s="261"/>
      <c r="H44" s="260"/>
      <c r="I44" s="260"/>
      <c r="J44" s="260"/>
      <c r="K44" s="260"/>
      <c r="L44" s="262"/>
      <c r="M44" s="262"/>
    </row>
    <row r="45" spans="1:13" s="39" customFormat="1" ht="36.75" customHeight="1">
      <c r="A45" s="255"/>
      <c r="B45" s="256"/>
      <c r="C45" s="1156"/>
      <c r="D45" s="266" t="s">
        <v>705</v>
      </c>
      <c r="E45" s="276" t="s">
        <v>811</v>
      </c>
      <c r="F45" s="268"/>
      <c r="G45" s="269"/>
      <c r="H45" s="268"/>
      <c r="I45" s="268"/>
      <c r="J45" s="268"/>
      <c r="K45" s="268"/>
      <c r="L45" s="270"/>
      <c r="M45" s="270"/>
    </row>
    <row r="46" spans="1:13" s="42" customFormat="1" ht="29.25" customHeight="1">
      <c r="A46" s="271"/>
      <c r="B46" s="272"/>
      <c r="C46" s="1154">
        <v>5</v>
      </c>
      <c r="D46" s="273"/>
      <c r="E46" s="251" t="s">
        <v>812</v>
      </c>
      <c r="F46" s="274"/>
      <c r="G46" s="275"/>
      <c r="H46" s="274"/>
      <c r="I46" s="274"/>
      <c r="J46" s="274"/>
      <c r="K46" s="274"/>
      <c r="L46" s="254">
        <v>5500</v>
      </c>
      <c r="M46" s="254">
        <f>L46</f>
        <v>5500</v>
      </c>
    </row>
    <row r="47" spans="1:13" s="39" customFormat="1" ht="36.75" customHeight="1">
      <c r="A47" s="255"/>
      <c r="B47" s="278"/>
      <c r="C47" s="1157"/>
      <c r="D47" s="279" t="s">
        <v>705</v>
      </c>
      <c r="E47" s="280" t="s">
        <v>813</v>
      </c>
      <c r="F47" s="281"/>
      <c r="G47" s="282"/>
      <c r="H47" s="281"/>
      <c r="I47" s="281"/>
      <c r="J47" s="281"/>
      <c r="K47" s="281"/>
      <c r="L47" s="283"/>
      <c r="M47" s="262"/>
    </row>
    <row r="48" spans="1:13" s="40" customFormat="1" ht="36.75" customHeight="1">
      <c r="A48" s="255"/>
      <c r="B48" s="278"/>
      <c r="C48" s="1156"/>
      <c r="D48" s="284" t="s">
        <v>705</v>
      </c>
      <c r="E48" s="285" t="s">
        <v>814</v>
      </c>
      <c r="F48" s="286"/>
      <c r="G48" s="287"/>
      <c r="H48" s="286"/>
      <c r="I48" s="286"/>
      <c r="J48" s="286"/>
      <c r="K48" s="286"/>
      <c r="L48" s="288"/>
      <c r="M48" s="270"/>
    </row>
    <row r="49" spans="1:13" s="44" customFormat="1" ht="27.75" customHeight="1">
      <c r="A49" s="249"/>
      <c r="B49" s="243"/>
      <c r="C49" s="1154">
        <v>6</v>
      </c>
      <c r="D49" s="273"/>
      <c r="E49" s="277" t="s">
        <v>815</v>
      </c>
      <c r="F49" s="289"/>
      <c r="G49" s="290"/>
      <c r="H49" s="289"/>
      <c r="I49" s="289"/>
      <c r="J49" s="289"/>
      <c r="K49" s="289"/>
      <c r="L49" s="291">
        <v>5000</v>
      </c>
      <c r="M49" s="254">
        <f>SUM(F49:L49)</f>
        <v>5000</v>
      </c>
    </row>
    <row r="50" spans="1:13" s="40" customFormat="1" ht="36.75" customHeight="1">
      <c r="A50" s="255"/>
      <c r="B50" s="278"/>
      <c r="C50" s="1156"/>
      <c r="D50" s="284" t="s">
        <v>705</v>
      </c>
      <c r="E50" s="285" t="s">
        <v>816</v>
      </c>
      <c r="F50" s="286"/>
      <c r="G50" s="287"/>
      <c r="H50" s="286"/>
      <c r="I50" s="286"/>
      <c r="J50" s="286"/>
      <c r="K50" s="286"/>
      <c r="L50" s="288"/>
      <c r="M50" s="270"/>
    </row>
    <row r="51" spans="1:13" s="41" customFormat="1" ht="31.5" customHeight="1">
      <c r="A51" s="249"/>
      <c r="B51" s="243"/>
      <c r="C51" s="1154">
        <v>7</v>
      </c>
      <c r="D51" s="273"/>
      <c r="E51" s="277" t="s">
        <v>817</v>
      </c>
      <c r="F51" s="289"/>
      <c r="G51" s="290"/>
      <c r="H51" s="289"/>
      <c r="I51" s="289"/>
      <c r="J51" s="289"/>
      <c r="K51" s="289"/>
      <c r="L51" s="291">
        <v>17000</v>
      </c>
      <c r="M51" s="254">
        <f>SUM(F51:L51)</f>
        <v>17000</v>
      </c>
    </row>
    <row r="52" spans="1:13" s="39" customFormat="1" ht="36.75" customHeight="1">
      <c r="A52" s="255"/>
      <c r="B52" s="278"/>
      <c r="C52" s="1157"/>
      <c r="D52" s="279" t="s">
        <v>705</v>
      </c>
      <c r="E52" s="280" t="s">
        <v>818</v>
      </c>
      <c r="F52" s="281"/>
      <c r="G52" s="282"/>
      <c r="H52" s="281"/>
      <c r="I52" s="281"/>
      <c r="J52" s="281"/>
      <c r="K52" s="281"/>
      <c r="L52" s="283"/>
      <c r="M52" s="262"/>
    </row>
    <row r="53" spans="1:13" s="39" customFormat="1" ht="66.75" customHeight="1">
      <c r="A53" s="255"/>
      <c r="B53" s="278"/>
      <c r="C53" s="1157"/>
      <c r="D53" s="279" t="s">
        <v>705</v>
      </c>
      <c r="E53" s="280" t="s">
        <v>819</v>
      </c>
      <c r="F53" s="281"/>
      <c r="G53" s="282"/>
      <c r="H53" s="281"/>
      <c r="I53" s="281"/>
      <c r="J53" s="281"/>
      <c r="K53" s="281"/>
      <c r="L53" s="283"/>
      <c r="M53" s="262"/>
    </row>
    <row r="54" spans="1:13" s="39" customFormat="1" ht="36.75" customHeight="1">
      <c r="A54" s="255"/>
      <c r="B54" s="278"/>
      <c r="C54" s="1156"/>
      <c r="D54" s="284" t="s">
        <v>705</v>
      </c>
      <c r="E54" s="285" t="s">
        <v>820</v>
      </c>
      <c r="F54" s="286"/>
      <c r="G54" s="287"/>
      <c r="H54" s="286"/>
      <c r="I54" s="286"/>
      <c r="J54" s="286"/>
      <c r="K54" s="286"/>
      <c r="L54" s="288"/>
      <c r="M54" s="270"/>
    </row>
    <row r="55" spans="1:13" s="41" customFormat="1" ht="39.75" customHeight="1">
      <c r="A55" s="249"/>
      <c r="B55" s="243"/>
      <c r="C55" s="1154">
        <v>8</v>
      </c>
      <c r="D55" s="273"/>
      <c r="E55" s="277" t="s">
        <v>821</v>
      </c>
      <c r="F55" s="289"/>
      <c r="G55" s="290"/>
      <c r="H55" s="289"/>
      <c r="I55" s="289"/>
      <c r="J55" s="289"/>
      <c r="K55" s="289"/>
      <c r="L55" s="291">
        <f>45000+7500</f>
        <v>52500</v>
      </c>
      <c r="M55" s="254">
        <f>SUM(F55:L55)</f>
        <v>52500</v>
      </c>
    </row>
    <row r="56" spans="1:13" s="39" customFormat="1" ht="79.5" customHeight="1">
      <c r="A56" s="255"/>
      <c r="B56" s="278"/>
      <c r="C56" s="1157"/>
      <c r="D56" s="279" t="s">
        <v>705</v>
      </c>
      <c r="E56" s="280" t="s">
        <v>822</v>
      </c>
      <c r="F56" s="281"/>
      <c r="G56" s="282"/>
      <c r="H56" s="281"/>
      <c r="I56" s="281"/>
      <c r="J56" s="281"/>
      <c r="K56" s="281"/>
      <c r="L56" s="283"/>
      <c r="M56" s="262"/>
    </row>
    <row r="57" spans="1:13" s="39" customFormat="1" ht="36.75" customHeight="1">
      <c r="A57" s="255"/>
      <c r="B57" s="278"/>
      <c r="C57" s="1156"/>
      <c r="D57" s="284" t="s">
        <v>705</v>
      </c>
      <c r="E57" s="285" t="s">
        <v>676</v>
      </c>
      <c r="F57" s="286"/>
      <c r="G57" s="287"/>
      <c r="H57" s="286"/>
      <c r="I57" s="286"/>
      <c r="J57" s="286"/>
      <c r="K57" s="286"/>
      <c r="L57" s="288"/>
      <c r="M57" s="270"/>
    </row>
    <row r="58" spans="1:13" s="41" customFormat="1" ht="33.75" customHeight="1">
      <c r="A58" s="249"/>
      <c r="B58" s="243"/>
      <c r="C58" s="1154">
        <v>9</v>
      </c>
      <c r="D58" s="273"/>
      <c r="E58" s="292" t="s">
        <v>823</v>
      </c>
      <c r="F58" s="289"/>
      <c r="G58" s="290"/>
      <c r="H58" s="289"/>
      <c r="I58" s="289"/>
      <c r="J58" s="289"/>
      <c r="K58" s="289"/>
      <c r="L58" s="291">
        <v>7000</v>
      </c>
      <c r="M58" s="254">
        <f>SUM(F58:L58)</f>
        <v>7000</v>
      </c>
    </row>
    <row r="59" spans="1:13" s="39" customFormat="1" ht="66.75" customHeight="1">
      <c r="A59" s="255"/>
      <c r="B59" s="278"/>
      <c r="C59" s="1156"/>
      <c r="D59" s="284" t="s">
        <v>705</v>
      </c>
      <c r="E59" s="285" t="s">
        <v>824</v>
      </c>
      <c r="F59" s="286"/>
      <c r="G59" s="287"/>
      <c r="H59" s="286"/>
      <c r="I59" s="286"/>
      <c r="J59" s="286"/>
      <c r="K59" s="286"/>
      <c r="L59" s="288"/>
      <c r="M59" s="270"/>
    </row>
    <row r="60" spans="1:13" s="38" customFormat="1" ht="48" customHeight="1">
      <c r="A60" s="257"/>
      <c r="B60" s="316"/>
      <c r="C60" s="1153">
        <v>10</v>
      </c>
      <c r="D60" s="366"/>
      <c r="E60" s="318" t="s">
        <v>247</v>
      </c>
      <c r="F60" s="224"/>
      <c r="G60" s="319"/>
      <c r="H60" s="224"/>
      <c r="I60" s="224"/>
      <c r="J60" s="224"/>
      <c r="K60" s="224"/>
      <c r="L60" s="320">
        <v>50000</v>
      </c>
      <c r="M60" s="320">
        <f>SUM(F60:L60)</f>
        <v>50000</v>
      </c>
    </row>
    <row r="61" spans="1:13" s="38" customFormat="1" ht="31.5" customHeight="1">
      <c r="A61" s="257"/>
      <c r="B61" s="1518"/>
      <c r="C61" s="1158">
        <v>11</v>
      </c>
      <c r="D61" s="380"/>
      <c r="E61" s="1519" t="s">
        <v>769</v>
      </c>
      <c r="F61" s="997"/>
      <c r="G61" s="1520"/>
      <c r="H61" s="997"/>
      <c r="I61" s="997"/>
      <c r="J61" s="997"/>
      <c r="K61" s="997"/>
      <c r="L61" s="1020">
        <f>500000-450000</f>
        <v>50000</v>
      </c>
      <c r="M61" s="1020">
        <f>L61</f>
        <v>50000</v>
      </c>
    </row>
    <row r="62" spans="1:14" s="111" customFormat="1" ht="45.75" customHeight="1">
      <c r="A62" s="304"/>
      <c r="B62" s="305">
        <v>70095</v>
      </c>
      <c r="C62" s="1149"/>
      <c r="D62" s="160"/>
      <c r="E62" s="161" t="s">
        <v>24</v>
      </c>
      <c r="F62" s="162">
        <f aca="true" t="shared" si="8" ref="F62:M62">SUM(F63:F66)</f>
        <v>0</v>
      </c>
      <c r="G62" s="163">
        <f t="shared" si="8"/>
        <v>0</v>
      </c>
      <c r="H62" s="163">
        <f t="shared" si="8"/>
        <v>0</v>
      </c>
      <c r="I62" s="163">
        <f t="shared" si="8"/>
        <v>0</v>
      </c>
      <c r="J62" s="163">
        <f t="shared" si="8"/>
        <v>0</v>
      </c>
      <c r="K62" s="163">
        <f t="shared" si="8"/>
        <v>0</v>
      </c>
      <c r="L62" s="163">
        <f t="shared" si="8"/>
        <v>172000</v>
      </c>
      <c r="M62" s="190">
        <f t="shared" si="8"/>
        <v>172000</v>
      </c>
      <c r="N62" s="110"/>
    </row>
    <row r="63" spans="1:13" s="38" customFormat="1" ht="36.75" customHeight="1">
      <c r="A63" s="257"/>
      <c r="B63" s="316"/>
      <c r="C63" s="1153">
        <v>1</v>
      </c>
      <c r="D63" s="317"/>
      <c r="E63" s="318" t="s">
        <v>678</v>
      </c>
      <c r="F63" s="224"/>
      <c r="G63" s="319"/>
      <c r="H63" s="224"/>
      <c r="I63" s="224"/>
      <c r="J63" s="224"/>
      <c r="K63" s="224"/>
      <c r="L63" s="320">
        <v>2000</v>
      </c>
      <c r="M63" s="320">
        <f>SUM(F63:L63)</f>
        <v>2000</v>
      </c>
    </row>
    <row r="64" spans="1:13" s="38" customFormat="1" ht="36.75" customHeight="1">
      <c r="A64" s="257"/>
      <c r="B64" s="316"/>
      <c r="C64" s="1153">
        <v>2</v>
      </c>
      <c r="D64" s="317"/>
      <c r="E64" s="318" t="s">
        <v>825</v>
      </c>
      <c r="F64" s="224"/>
      <c r="G64" s="319"/>
      <c r="H64" s="224"/>
      <c r="I64" s="224"/>
      <c r="J64" s="224"/>
      <c r="K64" s="224"/>
      <c r="L64" s="320">
        <v>20000</v>
      </c>
      <c r="M64" s="320">
        <f>SUM(F64:L64)</f>
        <v>20000</v>
      </c>
    </row>
    <row r="65" spans="1:13" s="38" customFormat="1" ht="36.75" customHeight="1">
      <c r="A65" s="257"/>
      <c r="B65" s="316"/>
      <c r="C65" s="1153">
        <v>3</v>
      </c>
      <c r="D65" s="317"/>
      <c r="E65" s="318" t="s">
        <v>679</v>
      </c>
      <c r="F65" s="224"/>
      <c r="G65" s="319"/>
      <c r="H65" s="224"/>
      <c r="I65" s="224"/>
      <c r="J65" s="224"/>
      <c r="K65" s="224"/>
      <c r="L65" s="320">
        <v>50000</v>
      </c>
      <c r="M65" s="320">
        <f>SUM(F65:L65)</f>
        <v>50000</v>
      </c>
    </row>
    <row r="66" spans="1:13" s="38" customFormat="1" ht="66.75" customHeight="1">
      <c r="A66" s="257"/>
      <c r="B66" s="316"/>
      <c r="C66" s="1147">
        <v>4</v>
      </c>
      <c r="D66" s="321"/>
      <c r="E66" s="322" t="s">
        <v>826</v>
      </c>
      <c r="F66" s="323"/>
      <c r="G66" s="324"/>
      <c r="H66" s="323"/>
      <c r="I66" s="323"/>
      <c r="J66" s="323"/>
      <c r="K66" s="323"/>
      <c r="L66" s="325">
        <v>100000</v>
      </c>
      <c r="M66" s="325">
        <f>SUM(F66:L66)</f>
        <v>100000</v>
      </c>
    </row>
    <row r="67" spans="1:13" s="46" customFormat="1" ht="47.25" customHeight="1">
      <c r="A67" s="151">
        <v>5</v>
      </c>
      <c r="B67" s="152">
        <v>710</v>
      </c>
      <c r="C67" s="1148"/>
      <c r="D67" s="154"/>
      <c r="E67" s="155" t="s">
        <v>680</v>
      </c>
      <c r="F67" s="156">
        <f aca="true" t="shared" si="9" ref="F67:M67">F68+F71+F77+F81</f>
        <v>0</v>
      </c>
      <c r="G67" s="188">
        <f t="shared" si="9"/>
        <v>0</v>
      </c>
      <c r="H67" s="188">
        <f t="shared" si="9"/>
        <v>0</v>
      </c>
      <c r="I67" s="188">
        <f t="shared" si="9"/>
        <v>0</v>
      </c>
      <c r="J67" s="188">
        <f t="shared" si="9"/>
        <v>0</v>
      </c>
      <c r="K67" s="188">
        <f t="shared" si="9"/>
        <v>0</v>
      </c>
      <c r="L67" s="188">
        <f t="shared" si="9"/>
        <v>848000</v>
      </c>
      <c r="M67" s="157">
        <f t="shared" si="9"/>
        <v>848000</v>
      </c>
    </row>
    <row r="68" spans="1:13" s="38" customFormat="1" ht="45" customHeight="1">
      <c r="A68" s="326"/>
      <c r="B68" s="327">
        <v>71004</v>
      </c>
      <c r="C68" s="1160"/>
      <c r="D68" s="328"/>
      <c r="E68" s="329" t="s">
        <v>681</v>
      </c>
      <c r="F68" s="330">
        <f aca="true" t="shared" si="10" ref="F68:M68">SUM(F69:F70)</f>
        <v>0</v>
      </c>
      <c r="G68" s="331">
        <f t="shared" si="10"/>
        <v>0</v>
      </c>
      <c r="H68" s="331">
        <f t="shared" si="10"/>
        <v>0</v>
      </c>
      <c r="I68" s="331">
        <f t="shared" si="10"/>
        <v>0</v>
      </c>
      <c r="J68" s="331">
        <f t="shared" si="10"/>
        <v>0</v>
      </c>
      <c r="K68" s="331">
        <f t="shared" si="10"/>
        <v>0</v>
      </c>
      <c r="L68" s="331">
        <f t="shared" si="10"/>
        <v>110000</v>
      </c>
      <c r="M68" s="331">
        <f t="shared" si="10"/>
        <v>110000</v>
      </c>
    </row>
    <row r="69" spans="1:13" s="38" customFormat="1" ht="66.75" customHeight="1">
      <c r="A69" s="257"/>
      <c r="B69" s="316"/>
      <c r="C69" s="1153">
        <v>1</v>
      </c>
      <c r="D69" s="317"/>
      <c r="E69" s="318" t="s">
        <v>683</v>
      </c>
      <c r="F69" s="224"/>
      <c r="G69" s="319"/>
      <c r="H69" s="224"/>
      <c r="I69" s="224"/>
      <c r="J69" s="224"/>
      <c r="K69" s="224"/>
      <c r="L69" s="320">
        <v>60000</v>
      </c>
      <c r="M69" s="320">
        <f>L69</f>
        <v>60000</v>
      </c>
    </row>
    <row r="70" spans="1:13" s="38" customFormat="1" ht="66.75" customHeight="1">
      <c r="A70" s="257"/>
      <c r="B70" s="316"/>
      <c r="C70" s="1147">
        <v>2</v>
      </c>
      <c r="D70" s="321"/>
      <c r="E70" s="1247" t="s">
        <v>684</v>
      </c>
      <c r="F70" s="323"/>
      <c r="G70" s="324"/>
      <c r="H70" s="323"/>
      <c r="I70" s="323"/>
      <c r="J70" s="323"/>
      <c r="K70" s="323"/>
      <c r="L70" s="325">
        <v>50000</v>
      </c>
      <c r="M70" s="325">
        <f aca="true" t="shared" si="11" ref="M70:M80">SUM(F70:L70)</f>
        <v>50000</v>
      </c>
    </row>
    <row r="71" spans="1:13" s="38" customFormat="1" ht="44.25" customHeight="1">
      <c r="A71" s="236"/>
      <c r="B71" s="327">
        <v>71014</v>
      </c>
      <c r="C71" s="1160"/>
      <c r="D71" s="328"/>
      <c r="E71" s="329" t="s">
        <v>685</v>
      </c>
      <c r="F71" s="330">
        <f>SUM(F72:F76)</f>
        <v>0</v>
      </c>
      <c r="G71" s="331">
        <f aca="true" t="shared" si="12" ref="G71:M71">SUM(G72:G76)</f>
        <v>0</v>
      </c>
      <c r="H71" s="331">
        <f t="shared" si="12"/>
        <v>0</v>
      </c>
      <c r="I71" s="331">
        <f t="shared" si="12"/>
        <v>0</v>
      </c>
      <c r="J71" s="331">
        <f t="shared" si="12"/>
        <v>0</v>
      </c>
      <c r="K71" s="331">
        <f t="shared" si="12"/>
        <v>0</v>
      </c>
      <c r="L71" s="331">
        <f t="shared" si="12"/>
        <v>127000</v>
      </c>
      <c r="M71" s="331">
        <f t="shared" si="12"/>
        <v>127000</v>
      </c>
    </row>
    <row r="72" spans="1:13" s="38" customFormat="1" ht="66.75" customHeight="1">
      <c r="A72" s="257"/>
      <c r="B72" s="316"/>
      <c r="C72" s="1162">
        <v>1</v>
      </c>
      <c r="D72" s="337"/>
      <c r="E72" s="338" t="s">
        <v>686</v>
      </c>
      <c r="F72" s="339"/>
      <c r="G72" s="340"/>
      <c r="H72" s="339"/>
      <c r="I72" s="339"/>
      <c r="J72" s="339"/>
      <c r="K72" s="339"/>
      <c r="L72" s="341">
        <v>10000</v>
      </c>
      <c r="M72" s="341">
        <f t="shared" si="11"/>
        <v>10000</v>
      </c>
    </row>
    <row r="73" spans="1:13" s="43" customFormat="1" ht="66.75" customHeight="1">
      <c r="A73" s="257"/>
      <c r="B73" s="316"/>
      <c r="C73" s="1153">
        <v>2</v>
      </c>
      <c r="D73" s="317"/>
      <c r="E73" s="342" t="s">
        <v>112</v>
      </c>
      <c r="F73" s="224"/>
      <c r="G73" s="319"/>
      <c r="H73" s="224"/>
      <c r="I73" s="224"/>
      <c r="J73" s="224"/>
      <c r="K73" s="224"/>
      <c r="L73" s="320">
        <v>80000</v>
      </c>
      <c r="M73" s="320">
        <f t="shared" si="11"/>
        <v>80000</v>
      </c>
    </row>
    <row r="74" spans="1:13" s="43" customFormat="1" ht="66.75" customHeight="1">
      <c r="A74" s="257"/>
      <c r="B74" s="316"/>
      <c r="C74" s="1153">
        <v>3</v>
      </c>
      <c r="D74" s="317"/>
      <c r="E74" s="342" t="s">
        <v>113</v>
      </c>
      <c r="F74" s="224"/>
      <c r="G74" s="319"/>
      <c r="H74" s="224"/>
      <c r="I74" s="224"/>
      <c r="J74" s="224"/>
      <c r="K74" s="224"/>
      <c r="L74" s="320">
        <v>15000</v>
      </c>
      <c r="M74" s="320">
        <f t="shared" si="11"/>
        <v>15000</v>
      </c>
    </row>
    <row r="75" spans="1:13" s="43" customFormat="1" ht="66.75" customHeight="1">
      <c r="A75" s="257"/>
      <c r="B75" s="316"/>
      <c r="C75" s="1153">
        <v>4</v>
      </c>
      <c r="D75" s="317"/>
      <c r="E75" s="342" t="s">
        <v>687</v>
      </c>
      <c r="F75" s="224"/>
      <c r="G75" s="319"/>
      <c r="H75" s="224"/>
      <c r="I75" s="224"/>
      <c r="J75" s="224"/>
      <c r="K75" s="224"/>
      <c r="L75" s="320">
        <v>10000</v>
      </c>
      <c r="M75" s="320">
        <f t="shared" si="11"/>
        <v>10000</v>
      </c>
    </row>
    <row r="76" spans="1:13" s="38" customFormat="1" ht="66.75" customHeight="1">
      <c r="A76" s="257"/>
      <c r="B76" s="316"/>
      <c r="C76" s="1147">
        <v>5</v>
      </c>
      <c r="D76" s="321"/>
      <c r="E76" s="322" t="s">
        <v>114</v>
      </c>
      <c r="F76" s="323"/>
      <c r="G76" s="324"/>
      <c r="H76" s="323"/>
      <c r="I76" s="323"/>
      <c r="J76" s="323"/>
      <c r="K76" s="323"/>
      <c r="L76" s="325">
        <v>12000</v>
      </c>
      <c r="M76" s="325">
        <f t="shared" si="11"/>
        <v>12000</v>
      </c>
    </row>
    <row r="77" spans="1:13" s="38" customFormat="1" ht="45" customHeight="1">
      <c r="A77" s="236"/>
      <c r="B77" s="327">
        <v>71095</v>
      </c>
      <c r="C77" s="1160"/>
      <c r="D77" s="328"/>
      <c r="E77" s="329" t="s">
        <v>24</v>
      </c>
      <c r="F77" s="330">
        <f>SUM(F78:F80)</f>
        <v>0</v>
      </c>
      <c r="G77" s="331">
        <f aca="true" t="shared" si="13" ref="G77:M77">SUM(G78:G80)</f>
        <v>0</v>
      </c>
      <c r="H77" s="331">
        <f t="shared" si="13"/>
        <v>0</v>
      </c>
      <c r="I77" s="331">
        <f t="shared" si="13"/>
        <v>0</v>
      </c>
      <c r="J77" s="331">
        <f t="shared" si="13"/>
        <v>0</v>
      </c>
      <c r="K77" s="331">
        <f t="shared" si="13"/>
        <v>0</v>
      </c>
      <c r="L77" s="331">
        <f t="shared" si="13"/>
        <v>111000</v>
      </c>
      <c r="M77" s="331">
        <f t="shared" si="13"/>
        <v>111000</v>
      </c>
    </row>
    <row r="78" spans="1:13" s="38" customFormat="1" ht="55.5" customHeight="1">
      <c r="A78" s="257"/>
      <c r="B78" s="316"/>
      <c r="C78" s="1162">
        <v>1</v>
      </c>
      <c r="D78" s="337"/>
      <c r="E78" s="338" t="s">
        <v>34</v>
      </c>
      <c r="F78" s="339"/>
      <c r="G78" s="340"/>
      <c r="H78" s="339"/>
      <c r="I78" s="339"/>
      <c r="J78" s="339"/>
      <c r="K78" s="339"/>
      <c r="L78" s="341">
        <v>75000</v>
      </c>
      <c r="M78" s="341">
        <f t="shared" si="11"/>
        <v>75000</v>
      </c>
    </row>
    <row r="79" spans="1:13" s="43" customFormat="1" ht="55.5" customHeight="1">
      <c r="A79" s="257"/>
      <c r="B79" s="316"/>
      <c r="C79" s="1153">
        <v>2</v>
      </c>
      <c r="D79" s="317"/>
      <c r="E79" s="342" t="s">
        <v>689</v>
      </c>
      <c r="F79" s="224"/>
      <c r="G79" s="319"/>
      <c r="H79" s="224"/>
      <c r="I79" s="224"/>
      <c r="J79" s="224"/>
      <c r="K79" s="224"/>
      <c r="L79" s="320">
        <v>6000</v>
      </c>
      <c r="M79" s="320">
        <f t="shared" si="11"/>
        <v>6000</v>
      </c>
    </row>
    <row r="80" spans="1:13" s="38" customFormat="1" ht="58.5" customHeight="1">
      <c r="A80" s="343"/>
      <c r="B80" s="344"/>
      <c r="C80" s="1163">
        <v>3</v>
      </c>
      <c r="D80" s="345"/>
      <c r="E80" s="346" t="s">
        <v>770</v>
      </c>
      <c r="F80" s="347"/>
      <c r="G80" s="348"/>
      <c r="H80" s="349"/>
      <c r="I80" s="349"/>
      <c r="J80" s="349"/>
      <c r="K80" s="349"/>
      <c r="L80" s="350">
        <v>30000</v>
      </c>
      <c r="M80" s="351">
        <f t="shared" si="11"/>
        <v>30000</v>
      </c>
    </row>
    <row r="81" spans="1:13" s="46" customFormat="1" ht="45" customHeight="1">
      <c r="A81" s="158"/>
      <c r="B81" s="189">
        <v>71035</v>
      </c>
      <c r="C81" s="1149"/>
      <c r="D81" s="160"/>
      <c r="E81" s="161" t="s">
        <v>688</v>
      </c>
      <c r="F81" s="162">
        <f>F82</f>
        <v>0</v>
      </c>
      <c r="G81" s="163">
        <f aca="true" t="shared" si="14" ref="G81:M81">G82</f>
        <v>0</v>
      </c>
      <c r="H81" s="163">
        <f t="shared" si="14"/>
        <v>0</v>
      </c>
      <c r="I81" s="163">
        <f t="shared" si="14"/>
        <v>0</v>
      </c>
      <c r="J81" s="163">
        <f t="shared" si="14"/>
        <v>0</v>
      </c>
      <c r="K81" s="163">
        <f t="shared" si="14"/>
        <v>0</v>
      </c>
      <c r="L81" s="163">
        <f t="shared" si="14"/>
        <v>500000</v>
      </c>
      <c r="M81" s="190">
        <f t="shared" si="14"/>
        <v>500000</v>
      </c>
    </row>
    <row r="82" spans="1:13" s="46" customFormat="1" ht="43.5" customHeight="1">
      <c r="A82" s="306"/>
      <c r="B82" s="307"/>
      <c r="C82" s="1164">
        <v>1</v>
      </c>
      <c r="D82" s="352"/>
      <c r="E82" s="309" t="s">
        <v>138</v>
      </c>
      <c r="F82" s="310"/>
      <c r="G82" s="311"/>
      <c r="H82" s="312"/>
      <c r="I82" s="312"/>
      <c r="J82" s="312"/>
      <c r="K82" s="313"/>
      <c r="L82" s="314">
        <f>1500000-1000000</f>
        <v>500000</v>
      </c>
      <c r="M82" s="315">
        <f>SUM(F82:L82)</f>
        <v>500000</v>
      </c>
    </row>
    <row r="83" spans="1:13" s="46" customFormat="1" ht="47.25" customHeight="1">
      <c r="A83" s="151">
        <v>6</v>
      </c>
      <c r="B83" s="152">
        <v>750</v>
      </c>
      <c r="C83" s="1148"/>
      <c r="D83" s="154"/>
      <c r="E83" s="155" t="s">
        <v>690</v>
      </c>
      <c r="F83" s="156">
        <f aca="true" t="shared" si="15" ref="F83:M83">F91+F93+F101+F169+F174+F84</f>
        <v>165665</v>
      </c>
      <c r="G83" s="156">
        <f t="shared" si="15"/>
        <v>0</v>
      </c>
      <c r="H83" s="156">
        <f t="shared" si="15"/>
        <v>0</v>
      </c>
      <c r="I83" s="156">
        <f t="shared" si="15"/>
        <v>0</v>
      </c>
      <c r="J83" s="156">
        <f t="shared" si="15"/>
        <v>34000</v>
      </c>
      <c r="K83" s="156">
        <f t="shared" si="15"/>
        <v>0</v>
      </c>
      <c r="L83" s="156">
        <f t="shared" si="15"/>
        <v>4266743</v>
      </c>
      <c r="M83" s="156">
        <f t="shared" si="15"/>
        <v>4466408</v>
      </c>
    </row>
    <row r="84" spans="1:13" s="2" customFormat="1" ht="39.75" customHeight="1">
      <c r="A84" s="173"/>
      <c r="B84" s="353" t="s">
        <v>691</v>
      </c>
      <c r="C84" s="1165"/>
      <c r="D84" s="160"/>
      <c r="E84" s="161" t="s">
        <v>692</v>
      </c>
      <c r="F84" s="1033">
        <f>F85</f>
        <v>165665</v>
      </c>
      <c r="G84" s="1507"/>
      <c r="H84" s="164"/>
      <c r="I84" s="164"/>
      <c r="J84" s="164"/>
      <c r="K84" s="163"/>
      <c r="L84" s="164"/>
      <c r="M84" s="165">
        <f>SUM(F84:L84)</f>
        <v>165665</v>
      </c>
    </row>
    <row r="85" spans="1:13" s="3" customFormat="1" ht="61.5" customHeight="1">
      <c r="A85" s="173"/>
      <c r="B85" s="357"/>
      <c r="C85" s="1166" t="s">
        <v>682</v>
      </c>
      <c r="D85" s="358"/>
      <c r="E85" s="359" t="s">
        <v>693</v>
      </c>
      <c r="F85" s="362">
        <f>115365+15177+25353+3610+6160</f>
        <v>165665</v>
      </c>
      <c r="G85" s="361"/>
      <c r="H85" s="362"/>
      <c r="I85" s="360"/>
      <c r="J85" s="360"/>
      <c r="K85" s="186"/>
      <c r="L85" s="185"/>
      <c r="M85" s="1010">
        <f>SUM(F85:L85)</f>
        <v>165665</v>
      </c>
    </row>
    <row r="86" spans="1:13" s="1573" customFormat="1" ht="31.5" customHeight="1">
      <c r="A86" s="364"/>
      <c r="B86" s="365"/>
      <c r="C86" s="1933"/>
      <c r="D86" s="258"/>
      <c r="E86" s="259" t="s">
        <v>833</v>
      </c>
      <c r="F86" s="804"/>
      <c r="G86" s="955"/>
      <c r="H86" s="804"/>
      <c r="I86" s="411"/>
      <c r="J86" s="411"/>
      <c r="K86" s="819"/>
      <c r="L86" s="804"/>
      <c r="M86" s="805"/>
    </row>
    <row r="87" spans="1:13" s="1934" customFormat="1" ht="33.75" customHeight="1">
      <c r="A87" s="364"/>
      <c r="B87" s="365"/>
      <c r="C87" s="1933"/>
      <c r="D87" s="258"/>
      <c r="E87" s="259" t="s">
        <v>834</v>
      </c>
      <c r="F87" s="804"/>
      <c r="G87" s="955"/>
      <c r="H87" s="804"/>
      <c r="I87" s="411"/>
      <c r="J87" s="411"/>
      <c r="K87" s="819"/>
      <c r="L87" s="804"/>
      <c r="M87" s="805"/>
    </row>
    <row r="88" spans="1:13" s="1935" customFormat="1" ht="29.25" customHeight="1">
      <c r="A88" s="364"/>
      <c r="B88" s="365"/>
      <c r="C88" s="1933"/>
      <c r="D88" s="258"/>
      <c r="E88" s="259" t="s">
        <v>835</v>
      </c>
      <c r="F88" s="804"/>
      <c r="G88" s="955"/>
      <c r="H88" s="804"/>
      <c r="I88" s="411"/>
      <c r="J88" s="411"/>
      <c r="K88" s="819"/>
      <c r="L88" s="804"/>
      <c r="M88" s="805"/>
    </row>
    <row r="89" spans="1:13" s="1935" customFormat="1" ht="28.5" customHeight="1">
      <c r="A89" s="364"/>
      <c r="B89" s="365"/>
      <c r="C89" s="1933"/>
      <c r="D89" s="258"/>
      <c r="E89" s="259" t="s">
        <v>836</v>
      </c>
      <c r="F89" s="804"/>
      <c r="G89" s="955"/>
      <c r="H89" s="804"/>
      <c r="I89" s="411"/>
      <c r="J89" s="411"/>
      <c r="K89" s="819"/>
      <c r="L89" s="804"/>
      <c r="M89" s="805"/>
    </row>
    <row r="90" spans="1:13" s="1935" customFormat="1" ht="30" customHeight="1">
      <c r="A90" s="364"/>
      <c r="B90" s="365"/>
      <c r="C90" s="1933"/>
      <c r="D90" s="258"/>
      <c r="E90" s="259" t="s">
        <v>837</v>
      </c>
      <c r="F90" s="804"/>
      <c r="G90" s="955"/>
      <c r="H90" s="804"/>
      <c r="I90" s="411"/>
      <c r="J90" s="411"/>
      <c r="K90" s="819"/>
      <c r="L90" s="804"/>
      <c r="M90" s="805"/>
    </row>
    <row r="91" spans="1:13" s="38" customFormat="1" ht="45.75" customHeight="1">
      <c r="A91" s="257"/>
      <c r="B91" s="1936">
        <v>75020</v>
      </c>
      <c r="C91" s="1182"/>
      <c r="D91" s="576"/>
      <c r="E91" s="1937" t="s">
        <v>740</v>
      </c>
      <c r="F91" s="1938">
        <f>SUM(F92)</f>
        <v>0</v>
      </c>
      <c r="G91" s="1939">
        <f aca="true" t="shared" si="16" ref="G91:L91">SUM(G92)</f>
        <v>0</v>
      </c>
      <c r="H91" s="1940">
        <f t="shared" si="16"/>
        <v>0</v>
      </c>
      <c r="I91" s="1940">
        <f t="shared" si="16"/>
        <v>0</v>
      </c>
      <c r="J91" s="1940">
        <f t="shared" si="16"/>
        <v>34000</v>
      </c>
      <c r="K91" s="1940">
        <f t="shared" si="16"/>
        <v>0</v>
      </c>
      <c r="L91" s="1940">
        <f t="shared" si="16"/>
        <v>0</v>
      </c>
      <c r="M91" s="1941">
        <f>SUM(F91:L91)</f>
        <v>34000</v>
      </c>
    </row>
    <row r="92" spans="1:13" s="46" customFormat="1" ht="137.25" customHeight="1">
      <c r="A92" s="257"/>
      <c r="B92" s="394"/>
      <c r="C92" s="1157">
        <v>1</v>
      </c>
      <c r="D92" s="181"/>
      <c r="E92" s="395" t="s">
        <v>886</v>
      </c>
      <c r="F92" s="396"/>
      <c r="G92" s="397"/>
      <c r="H92" s="398"/>
      <c r="I92" s="398"/>
      <c r="J92" s="398">
        <v>34000</v>
      </c>
      <c r="K92" s="398"/>
      <c r="L92" s="398">
        <v>0</v>
      </c>
      <c r="M92" s="399">
        <f>SUM(F92:L92)</f>
        <v>34000</v>
      </c>
    </row>
    <row r="93" spans="1:13" s="38" customFormat="1" ht="47.25" customHeight="1">
      <c r="A93" s="400"/>
      <c r="B93" s="401">
        <v>75022</v>
      </c>
      <c r="C93" s="1171"/>
      <c r="D93" s="402"/>
      <c r="E93" s="403" t="s">
        <v>699</v>
      </c>
      <c r="F93" s="390">
        <f>SUM(F94:F100)</f>
        <v>0</v>
      </c>
      <c r="G93" s="391">
        <f aca="true" t="shared" si="17" ref="G93:M93">SUM(G94:G100)</f>
        <v>0</v>
      </c>
      <c r="H93" s="392">
        <f t="shared" si="17"/>
        <v>0</v>
      </c>
      <c r="I93" s="392">
        <f t="shared" si="17"/>
        <v>0</v>
      </c>
      <c r="J93" s="392">
        <f t="shared" si="17"/>
        <v>0</v>
      </c>
      <c r="K93" s="392">
        <f t="shared" si="17"/>
        <v>0</v>
      </c>
      <c r="L93" s="392">
        <f t="shared" si="17"/>
        <v>260500</v>
      </c>
      <c r="M93" s="393">
        <f t="shared" si="17"/>
        <v>260500</v>
      </c>
    </row>
    <row r="94" spans="1:14" s="61" customFormat="1" ht="36.75" customHeight="1">
      <c r="A94" s="242"/>
      <c r="B94" s="243"/>
      <c r="C94" s="1157">
        <v>1</v>
      </c>
      <c r="D94" s="404"/>
      <c r="E94" s="1029" t="s">
        <v>27</v>
      </c>
      <c r="F94" s="405"/>
      <c r="G94" s="406"/>
      <c r="H94" s="407"/>
      <c r="I94" s="407"/>
      <c r="J94" s="407"/>
      <c r="K94" s="407"/>
      <c r="L94" s="398">
        <v>22500</v>
      </c>
      <c r="M94" s="399">
        <f aca="true" t="shared" si="18" ref="M94:M100">L94</f>
        <v>22500</v>
      </c>
      <c r="N94" s="112"/>
    </row>
    <row r="95" spans="1:13" s="61" customFormat="1" ht="36.75" customHeight="1">
      <c r="A95" s="242"/>
      <c r="B95" s="243"/>
      <c r="C95" s="1153">
        <v>2</v>
      </c>
      <c r="D95" s="1508"/>
      <c r="E95" s="567" t="s">
        <v>30</v>
      </c>
      <c r="F95" s="1506"/>
      <c r="G95" s="1509"/>
      <c r="H95" s="1510"/>
      <c r="I95" s="1510"/>
      <c r="J95" s="1510"/>
      <c r="K95" s="1510"/>
      <c r="L95" s="1511">
        <v>185000</v>
      </c>
      <c r="M95" s="1512">
        <f t="shared" si="18"/>
        <v>185000</v>
      </c>
    </row>
    <row r="96" spans="1:13" s="113" customFormat="1" ht="36.75" customHeight="1">
      <c r="A96" s="242"/>
      <c r="B96" s="272"/>
      <c r="C96" s="1153">
        <v>3</v>
      </c>
      <c r="D96" s="439"/>
      <c r="E96" s="223" t="s">
        <v>733</v>
      </c>
      <c r="F96" s="440"/>
      <c r="G96" s="441"/>
      <c r="H96" s="442"/>
      <c r="I96" s="442"/>
      <c r="J96" s="442"/>
      <c r="K96" s="442"/>
      <c r="L96" s="1513">
        <v>14000</v>
      </c>
      <c r="M96" s="1514">
        <f t="shared" si="18"/>
        <v>14000</v>
      </c>
    </row>
    <row r="97" spans="1:13" s="113" customFormat="1" ht="58.5" customHeight="1">
      <c r="A97" s="242"/>
      <c r="B97" s="272"/>
      <c r="C97" s="1153">
        <v>4</v>
      </c>
      <c r="D97" s="439"/>
      <c r="E97" s="223" t="s">
        <v>735</v>
      </c>
      <c r="F97" s="440"/>
      <c r="G97" s="441"/>
      <c r="H97" s="442"/>
      <c r="I97" s="442"/>
      <c r="J97" s="442"/>
      <c r="K97" s="442"/>
      <c r="L97" s="1515">
        <v>9000</v>
      </c>
      <c r="M97" s="1512">
        <f t="shared" si="18"/>
        <v>9000</v>
      </c>
    </row>
    <row r="98" spans="1:13" s="113" customFormat="1" ht="39.75" customHeight="1">
      <c r="A98" s="242"/>
      <c r="B98" s="272"/>
      <c r="C98" s="1153">
        <v>5</v>
      </c>
      <c r="D98" s="439"/>
      <c r="E98" s="223" t="s">
        <v>736</v>
      </c>
      <c r="F98" s="440"/>
      <c r="G98" s="441"/>
      <c r="H98" s="442"/>
      <c r="I98" s="442"/>
      <c r="J98" s="442"/>
      <c r="K98" s="442"/>
      <c r="L98" s="1515">
        <v>10000</v>
      </c>
      <c r="M98" s="1512">
        <f t="shared" si="18"/>
        <v>10000</v>
      </c>
    </row>
    <row r="99" spans="1:13" s="113" customFormat="1" ht="39.75" customHeight="1">
      <c r="A99" s="242"/>
      <c r="B99" s="272"/>
      <c r="C99" s="1153">
        <v>6</v>
      </c>
      <c r="D99" s="439"/>
      <c r="E99" s="223" t="s">
        <v>737</v>
      </c>
      <c r="F99" s="440"/>
      <c r="G99" s="441"/>
      <c r="H99" s="442"/>
      <c r="I99" s="442"/>
      <c r="J99" s="442"/>
      <c r="K99" s="442"/>
      <c r="L99" s="1515">
        <v>5000</v>
      </c>
      <c r="M99" s="1512">
        <f t="shared" si="18"/>
        <v>5000</v>
      </c>
    </row>
    <row r="100" spans="1:13" s="113" customFormat="1" ht="39.75" customHeight="1">
      <c r="A100" s="445"/>
      <c r="B100" s="446"/>
      <c r="C100" s="1163">
        <v>7</v>
      </c>
      <c r="D100" s="447"/>
      <c r="E100" s="1248" t="s">
        <v>738</v>
      </c>
      <c r="F100" s="449"/>
      <c r="G100" s="450"/>
      <c r="H100" s="451"/>
      <c r="I100" s="451"/>
      <c r="J100" s="451"/>
      <c r="K100" s="451"/>
      <c r="L100" s="1516">
        <v>15000</v>
      </c>
      <c r="M100" s="1517">
        <f t="shared" si="18"/>
        <v>15000</v>
      </c>
    </row>
    <row r="101" spans="1:13" s="46" customFormat="1" ht="45" customHeight="1">
      <c r="A101" s="304"/>
      <c r="B101" s="454">
        <v>75023</v>
      </c>
      <c r="C101" s="1171"/>
      <c r="D101" s="455"/>
      <c r="E101" s="403" t="s">
        <v>115</v>
      </c>
      <c r="F101" s="456">
        <f aca="true" t="shared" si="19" ref="F101:M101">F103+F113</f>
        <v>0</v>
      </c>
      <c r="G101" s="456">
        <f t="shared" si="19"/>
        <v>0</v>
      </c>
      <c r="H101" s="456">
        <f t="shared" si="19"/>
        <v>0</v>
      </c>
      <c r="I101" s="456">
        <f t="shared" si="19"/>
        <v>0</v>
      </c>
      <c r="J101" s="456">
        <f t="shared" si="19"/>
        <v>0</v>
      </c>
      <c r="K101" s="456">
        <f t="shared" si="19"/>
        <v>0</v>
      </c>
      <c r="L101" s="456">
        <f t="shared" si="19"/>
        <v>3911243</v>
      </c>
      <c r="M101" s="456">
        <f t="shared" si="19"/>
        <v>3911243</v>
      </c>
    </row>
    <row r="102" spans="1:13" s="66" customFormat="1" ht="56.25" customHeight="1">
      <c r="A102" s="306"/>
      <c r="B102" s="457"/>
      <c r="C102" s="1172"/>
      <c r="D102" s="458"/>
      <c r="E102" s="459" t="s">
        <v>5</v>
      </c>
      <c r="F102" s="460"/>
      <c r="G102" s="311"/>
      <c r="H102" s="311"/>
      <c r="I102" s="311"/>
      <c r="J102" s="311"/>
      <c r="K102" s="311"/>
      <c r="L102" s="311"/>
      <c r="M102" s="461"/>
    </row>
    <row r="103" spans="1:13" s="66" customFormat="1" ht="66.75" customHeight="1">
      <c r="A103" s="306"/>
      <c r="B103" s="462"/>
      <c r="C103" s="1172" t="s">
        <v>602</v>
      </c>
      <c r="D103" s="458"/>
      <c r="E103" s="463" t="s">
        <v>6</v>
      </c>
      <c r="F103" s="310">
        <f>F108+F109+F110+F111+F112</f>
        <v>0</v>
      </c>
      <c r="G103" s="310">
        <f aca="true" t="shared" si="20" ref="G103:M103">G108+G109+G110+G111+G112</f>
        <v>0</v>
      </c>
      <c r="H103" s="310">
        <f t="shared" si="20"/>
        <v>0</v>
      </c>
      <c r="I103" s="310">
        <f t="shared" si="20"/>
        <v>0</v>
      </c>
      <c r="J103" s="310">
        <f t="shared" si="20"/>
        <v>0</v>
      </c>
      <c r="K103" s="310">
        <f t="shared" si="20"/>
        <v>0</v>
      </c>
      <c r="L103" s="310">
        <f t="shared" si="20"/>
        <v>3126743</v>
      </c>
      <c r="M103" s="310">
        <f t="shared" si="20"/>
        <v>3126743</v>
      </c>
    </row>
    <row r="104" spans="1:13" s="6" customFormat="1" ht="139.5" customHeight="1">
      <c r="A104" s="464"/>
      <c r="B104" s="465"/>
      <c r="C104" s="1173"/>
      <c r="D104" s="466"/>
      <c r="E104" s="467" t="s">
        <v>248</v>
      </c>
      <c r="F104" s="468"/>
      <c r="G104" s="469"/>
      <c r="H104" s="468"/>
      <c r="I104" s="468"/>
      <c r="J104" s="468"/>
      <c r="K104" s="203"/>
      <c r="L104" s="202"/>
      <c r="M104" s="200"/>
    </row>
    <row r="105" spans="1:13" s="6" customFormat="1" ht="30" customHeight="1">
      <c r="A105" s="464"/>
      <c r="B105" s="465"/>
      <c r="C105" s="1173"/>
      <c r="D105" s="466"/>
      <c r="E105" s="467" t="s">
        <v>107</v>
      </c>
      <c r="F105" s="468"/>
      <c r="G105" s="469"/>
      <c r="H105" s="468"/>
      <c r="I105" s="468"/>
      <c r="J105" s="468"/>
      <c r="K105" s="203"/>
      <c r="L105" s="202"/>
      <c r="M105" s="200"/>
    </row>
    <row r="106" spans="1:13" s="6" customFormat="1" ht="30" customHeight="1">
      <c r="A106" s="464"/>
      <c r="B106" s="465"/>
      <c r="C106" s="1173"/>
      <c r="D106" s="466"/>
      <c r="E106" s="467" t="s">
        <v>108</v>
      </c>
      <c r="F106" s="468"/>
      <c r="G106" s="469"/>
      <c r="H106" s="468"/>
      <c r="I106" s="468"/>
      <c r="J106" s="468"/>
      <c r="K106" s="470"/>
      <c r="L106" s="471"/>
      <c r="M106" s="200"/>
    </row>
    <row r="107" spans="1:13" s="6" customFormat="1" ht="30" customHeight="1">
      <c r="A107" s="464"/>
      <c r="B107" s="465"/>
      <c r="C107" s="1174"/>
      <c r="D107" s="472"/>
      <c r="E107" s="473" t="s">
        <v>109</v>
      </c>
      <c r="F107" s="474"/>
      <c r="G107" s="475"/>
      <c r="H107" s="476"/>
      <c r="I107" s="476"/>
      <c r="J107" s="476"/>
      <c r="K107" s="477"/>
      <c r="L107" s="478"/>
      <c r="M107" s="479"/>
    </row>
    <row r="108" spans="1:13" s="7" customFormat="1" ht="86.25" customHeight="1">
      <c r="A108" s="464"/>
      <c r="B108" s="465"/>
      <c r="C108" s="1174"/>
      <c r="D108" s="472"/>
      <c r="E108" s="480" t="s">
        <v>249</v>
      </c>
      <c r="F108" s="476"/>
      <c r="G108" s="481"/>
      <c r="H108" s="476"/>
      <c r="I108" s="476"/>
      <c r="J108" s="476"/>
      <c r="K108" s="477"/>
      <c r="L108" s="478">
        <v>2393997</v>
      </c>
      <c r="M108" s="482">
        <f>L108</f>
        <v>2393997</v>
      </c>
    </row>
    <row r="109" spans="1:13" s="7" customFormat="1" ht="91.5" customHeight="1">
      <c r="A109" s="464"/>
      <c r="B109" s="465"/>
      <c r="C109" s="1173"/>
      <c r="D109" s="466"/>
      <c r="E109" s="467" t="s">
        <v>250</v>
      </c>
      <c r="F109" s="468"/>
      <c r="G109" s="469"/>
      <c r="H109" s="468"/>
      <c r="I109" s="468"/>
      <c r="J109" s="468"/>
      <c r="K109" s="470"/>
      <c r="L109" s="471">
        <v>162492</v>
      </c>
      <c r="M109" s="482">
        <f>L109</f>
        <v>162492</v>
      </c>
    </row>
    <row r="110" spans="1:13" s="6" customFormat="1" ht="99.75" customHeight="1">
      <c r="A110" s="464"/>
      <c r="B110" s="465"/>
      <c r="C110" s="1173"/>
      <c r="D110" s="466"/>
      <c r="E110" s="467" t="s">
        <v>251</v>
      </c>
      <c r="F110" s="468"/>
      <c r="G110" s="469"/>
      <c r="H110" s="468"/>
      <c r="I110" s="468"/>
      <c r="J110" s="468"/>
      <c r="K110" s="470"/>
      <c r="L110" s="471">
        <v>502380</v>
      </c>
      <c r="M110" s="482">
        <f>L110</f>
        <v>502380</v>
      </c>
    </row>
    <row r="111" spans="1:13" s="6" customFormat="1" ht="114" customHeight="1">
      <c r="A111" s="464"/>
      <c r="B111" s="465"/>
      <c r="C111" s="1173"/>
      <c r="D111" s="466"/>
      <c r="E111" s="467" t="s">
        <v>252</v>
      </c>
      <c r="F111" s="468"/>
      <c r="G111" s="469"/>
      <c r="H111" s="468"/>
      <c r="I111" s="468"/>
      <c r="J111" s="468"/>
      <c r="K111" s="470"/>
      <c r="L111" s="202">
        <v>52874</v>
      </c>
      <c r="M111" s="482">
        <f>L111</f>
        <v>52874</v>
      </c>
    </row>
    <row r="112" spans="1:13" s="66" customFormat="1" ht="45" customHeight="1">
      <c r="A112" s="306"/>
      <c r="B112" s="483"/>
      <c r="C112" s="1172"/>
      <c r="D112" s="458"/>
      <c r="E112" s="182" t="s">
        <v>253</v>
      </c>
      <c r="F112" s="484">
        <v>0</v>
      </c>
      <c r="G112" s="314">
        <v>0</v>
      </c>
      <c r="H112" s="314">
        <v>0</v>
      </c>
      <c r="I112" s="314">
        <v>0</v>
      </c>
      <c r="J112" s="314">
        <v>0</v>
      </c>
      <c r="K112" s="314">
        <v>0</v>
      </c>
      <c r="L112" s="314">
        <v>15000</v>
      </c>
      <c r="M112" s="485">
        <f>L112</f>
        <v>15000</v>
      </c>
    </row>
    <row r="113" spans="1:13" s="55" customFormat="1" ht="36.75" customHeight="1">
      <c r="A113" s="249"/>
      <c r="B113" s="486"/>
      <c r="C113" s="1146" t="s">
        <v>121</v>
      </c>
      <c r="D113" s="487"/>
      <c r="E113" s="488" t="s">
        <v>979</v>
      </c>
      <c r="F113" s="489">
        <f aca="true" t="shared" si="21" ref="F113:M113">F114+F130+F140+F154+F155+F159+F162+F163+F164+F165+F166+F167+F168</f>
        <v>0</v>
      </c>
      <c r="G113" s="490">
        <f t="shared" si="21"/>
        <v>0</v>
      </c>
      <c r="H113" s="491">
        <f t="shared" si="21"/>
        <v>0</v>
      </c>
      <c r="I113" s="491">
        <f t="shared" si="21"/>
        <v>0</v>
      </c>
      <c r="J113" s="491">
        <f t="shared" si="21"/>
        <v>0</v>
      </c>
      <c r="K113" s="491">
        <f t="shared" si="21"/>
        <v>0</v>
      </c>
      <c r="L113" s="491">
        <f t="shared" si="21"/>
        <v>784500</v>
      </c>
      <c r="M113" s="492">
        <f t="shared" si="21"/>
        <v>784500</v>
      </c>
    </row>
    <row r="114" spans="1:13" s="48" customFormat="1" ht="31.5" customHeight="1">
      <c r="A114" s="493"/>
      <c r="B114" s="494"/>
      <c r="C114" s="1175">
        <v>1</v>
      </c>
      <c r="D114" s="495"/>
      <c r="E114" s="496" t="s">
        <v>887</v>
      </c>
      <c r="F114" s="497"/>
      <c r="G114" s="498"/>
      <c r="H114" s="499"/>
      <c r="I114" s="499"/>
      <c r="J114" s="499"/>
      <c r="K114" s="500"/>
      <c r="L114" s="501">
        <f>30000+40000+300+2200+5000+3000+30000+15500+5000+7000+40000+10000+3000+10000-1000</f>
        <v>200000</v>
      </c>
      <c r="M114" s="502">
        <f>SUM(F114:L114)</f>
        <v>200000</v>
      </c>
    </row>
    <row r="115" spans="1:13" s="56" customFormat="1" ht="23.25">
      <c r="A115" s="503"/>
      <c r="B115" s="494"/>
      <c r="C115" s="1175"/>
      <c r="D115" s="504"/>
      <c r="E115" s="505" t="s">
        <v>706</v>
      </c>
      <c r="F115" s="506"/>
      <c r="G115" s="507"/>
      <c r="H115" s="508"/>
      <c r="I115" s="508"/>
      <c r="J115" s="508"/>
      <c r="K115" s="509"/>
      <c r="L115" s="508"/>
      <c r="M115" s="510"/>
    </row>
    <row r="116" spans="1:13" s="50" customFormat="1" ht="36.75" customHeight="1">
      <c r="A116" s="255"/>
      <c r="B116" s="511"/>
      <c r="C116" s="1157"/>
      <c r="D116" s="258" t="s">
        <v>705</v>
      </c>
      <c r="E116" s="512" t="s">
        <v>197</v>
      </c>
      <c r="F116" s="513"/>
      <c r="G116" s="514"/>
      <c r="H116" s="412"/>
      <c r="I116" s="412"/>
      <c r="J116" s="412"/>
      <c r="K116" s="515"/>
      <c r="L116" s="516"/>
      <c r="M116" s="510"/>
    </row>
    <row r="117" spans="1:13" s="50" customFormat="1" ht="36.75" customHeight="1">
      <c r="A117" s="255"/>
      <c r="B117" s="511"/>
      <c r="C117" s="1157"/>
      <c r="D117" s="258" t="s">
        <v>705</v>
      </c>
      <c r="E117" s="512" t="s">
        <v>196</v>
      </c>
      <c r="F117" s="513"/>
      <c r="G117" s="514"/>
      <c r="H117" s="412"/>
      <c r="I117" s="412"/>
      <c r="J117" s="412"/>
      <c r="K117" s="515"/>
      <c r="L117" s="516"/>
      <c r="M117" s="510"/>
    </row>
    <row r="118" spans="1:13" s="50" customFormat="1" ht="36.75" customHeight="1">
      <c r="A118" s="255"/>
      <c r="B118" s="511"/>
      <c r="C118" s="1157"/>
      <c r="D118" s="258" t="s">
        <v>705</v>
      </c>
      <c r="E118" s="512" t="s">
        <v>888</v>
      </c>
      <c r="F118" s="513"/>
      <c r="G118" s="514"/>
      <c r="H118" s="412"/>
      <c r="I118" s="412"/>
      <c r="J118" s="412"/>
      <c r="K118" s="515"/>
      <c r="L118" s="516"/>
      <c r="M118" s="510"/>
    </row>
    <row r="119" spans="1:13" s="50" customFormat="1" ht="66.75" customHeight="1">
      <c r="A119" s="255"/>
      <c r="B119" s="511"/>
      <c r="C119" s="1157"/>
      <c r="D119" s="258" t="s">
        <v>705</v>
      </c>
      <c r="E119" s="512" t="s">
        <v>201</v>
      </c>
      <c r="F119" s="513"/>
      <c r="G119" s="514"/>
      <c r="H119" s="412"/>
      <c r="I119" s="412"/>
      <c r="J119" s="412"/>
      <c r="K119" s="515"/>
      <c r="L119" s="516"/>
      <c r="M119" s="510"/>
    </row>
    <row r="120" spans="1:13" s="50" customFormat="1" ht="49.5" customHeight="1">
      <c r="A120" s="255"/>
      <c r="B120" s="511"/>
      <c r="C120" s="1157"/>
      <c r="D120" s="258" t="s">
        <v>705</v>
      </c>
      <c r="E120" s="512" t="s">
        <v>200</v>
      </c>
      <c r="F120" s="513"/>
      <c r="G120" s="514"/>
      <c r="H120" s="412"/>
      <c r="I120" s="412"/>
      <c r="J120" s="412"/>
      <c r="K120" s="515"/>
      <c r="L120" s="516"/>
      <c r="M120" s="510"/>
    </row>
    <row r="121" spans="1:13" s="50" customFormat="1" ht="49.5" customHeight="1">
      <c r="A121" s="255"/>
      <c r="B121" s="511"/>
      <c r="C121" s="1157"/>
      <c r="D121" s="258" t="s">
        <v>705</v>
      </c>
      <c r="E121" s="512" t="s">
        <v>1065</v>
      </c>
      <c r="F121" s="513"/>
      <c r="G121" s="514"/>
      <c r="H121" s="412"/>
      <c r="I121" s="412"/>
      <c r="J121" s="412"/>
      <c r="K121" s="515"/>
      <c r="L121" s="516"/>
      <c r="M121" s="510"/>
    </row>
    <row r="122" spans="1:13" s="50" customFormat="1" ht="49.5" customHeight="1">
      <c r="A122" s="255"/>
      <c r="B122" s="511"/>
      <c r="C122" s="1157"/>
      <c r="D122" s="258" t="s">
        <v>705</v>
      </c>
      <c r="E122" s="512" t="s">
        <v>968</v>
      </c>
      <c r="F122" s="513"/>
      <c r="G122" s="514"/>
      <c r="H122" s="412"/>
      <c r="I122" s="412"/>
      <c r="J122" s="412"/>
      <c r="K122" s="515"/>
      <c r="L122" s="516"/>
      <c r="M122" s="510"/>
    </row>
    <row r="123" spans="1:13" s="50" customFormat="1" ht="57.75" customHeight="1">
      <c r="A123" s="255"/>
      <c r="B123" s="511"/>
      <c r="C123" s="1157"/>
      <c r="D123" s="258" t="s">
        <v>705</v>
      </c>
      <c r="E123" s="512" t="s">
        <v>1055</v>
      </c>
      <c r="F123" s="513"/>
      <c r="G123" s="514"/>
      <c r="H123" s="412"/>
      <c r="I123" s="412"/>
      <c r="J123" s="412"/>
      <c r="K123" s="515"/>
      <c r="L123" s="516"/>
      <c r="M123" s="510"/>
    </row>
    <row r="124" spans="1:13" s="50" customFormat="1" ht="49.5" customHeight="1">
      <c r="A124" s="255"/>
      <c r="B124" s="511"/>
      <c r="C124" s="1157"/>
      <c r="D124" s="258" t="s">
        <v>705</v>
      </c>
      <c r="E124" s="512" t="s">
        <v>1062</v>
      </c>
      <c r="F124" s="513"/>
      <c r="G124" s="514"/>
      <c r="H124" s="412"/>
      <c r="I124" s="412"/>
      <c r="J124" s="412"/>
      <c r="K124" s="515"/>
      <c r="L124" s="516"/>
      <c r="M124" s="510"/>
    </row>
    <row r="125" spans="1:13" s="50" customFormat="1" ht="49.5" customHeight="1">
      <c r="A125" s="255"/>
      <c r="B125" s="511"/>
      <c r="C125" s="1157"/>
      <c r="D125" s="258" t="s">
        <v>705</v>
      </c>
      <c r="E125" s="512" t="s">
        <v>969</v>
      </c>
      <c r="F125" s="513"/>
      <c r="G125" s="514"/>
      <c r="H125" s="412"/>
      <c r="I125" s="412"/>
      <c r="J125" s="412"/>
      <c r="K125" s="515"/>
      <c r="L125" s="516"/>
      <c r="M125" s="510"/>
    </row>
    <row r="126" spans="1:13" s="50" customFormat="1" ht="101.25" customHeight="1">
      <c r="A126" s="255"/>
      <c r="B126" s="511"/>
      <c r="C126" s="1157"/>
      <c r="D126" s="258" t="s">
        <v>705</v>
      </c>
      <c r="E126" s="512" t="s">
        <v>198</v>
      </c>
      <c r="F126" s="513"/>
      <c r="G126" s="514"/>
      <c r="H126" s="412"/>
      <c r="I126" s="412"/>
      <c r="J126" s="412"/>
      <c r="K126" s="515"/>
      <c r="L126" s="516"/>
      <c r="M126" s="510"/>
    </row>
    <row r="127" spans="1:13" s="50" customFormat="1" ht="49.5" customHeight="1">
      <c r="A127" s="255"/>
      <c r="B127" s="511"/>
      <c r="C127" s="1157"/>
      <c r="D127" s="258" t="s">
        <v>705</v>
      </c>
      <c r="E127" s="512" t="s">
        <v>199</v>
      </c>
      <c r="F127" s="513"/>
      <c r="G127" s="514"/>
      <c r="H127" s="412"/>
      <c r="I127" s="412"/>
      <c r="J127" s="412"/>
      <c r="K127" s="515"/>
      <c r="L127" s="516"/>
      <c r="M127" s="510"/>
    </row>
    <row r="128" spans="1:13" s="50" customFormat="1" ht="49.5" customHeight="1">
      <c r="A128" s="255"/>
      <c r="B128" s="511"/>
      <c r="C128" s="1157"/>
      <c r="D128" s="258" t="s">
        <v>705</v>
      </c>
      <c r="E128" s="512" t="s">
        <v>1058</v>
      </c>
      <c r="F128" s="513"/>
      <c r="G128" s="514"/>
      <c r="H128" s="412"/>
      <c r="I128" s="412"/>
      <c r="J128" s="412"/>
      <c r="K128" s="515"/>
      <c r="L128" s="516"/>
      <c r="M128" s="510"/>
    </row>
    <row r="129" spans="1:13" s="50" customFormat="1" ht="67.5" customHeight="1">
      <c r="A129" s="255"/>
      <c r="B129" s="511"/>
      <c r="C129" s="1157"/>
      <c r="D129" s="258" t="s">
        <v>705</v>
      </c>
      <c r="E129" s="512" t="s">
        <v>1056</v>
      </c>
      <c r="F129" s="513"/>
      <c r="G129" s="514"/>
      <c r="H129" s="412"/>
      <c r="I129" s="412"/>
      <c r="J129" s="412"/>
      <c r="K129" s="515"/>
      <c r="L129" s="516"/>
      <c r="M129" s="510"/>
    </row>
    <row r="130" spans="1:13" s="57" customFormat="1" ht="28.5" customHeight="1">
      <c r="A130" s="524"/>
      <c r="B130" s="525"/>
      <c r="C130" s="1176">
        <v>2</v>
      </c>
      <c r="D130" s="526"/>
      <c r="E130" s="527" t="s">
        <v>889</v>
      </c>
      <c r="F130" s="528"/>
      <c r="G130" s="529"/>
      <c r="H130" s="530"/>
      <c r="I130" s="530"/>
      <c r="J130" s="530"/>
      <c r="K130" s="531"/>
      <c r="L130" s="532">
        <f>30000+8000+18000+20000+2000+4000+8000+5000</f>
        <v>95000</v>
      </c>
      <c r="M130" s="533">
        <f>SUM(F130:L130)</f>
        <v>95000</v>
      </c>
    </row>
    <row r="131" spans="1:13" s="56" customFormat="1" ht="23.25">
      <c r="A131" s="503"/>
      <c r="B131" s="494"/>
      <c r="C131" s="1175"/>
      <c r="D131" s="504"/>
      <c r="E131" s="505" t="s">
        <v>706</v>
      </c>
      <c r="F131" s="506"/>
      <c r="G131" s="507"/>
      <c r="H131" s="508"/>
      <c r="I131" s="508"/>
      <c r="J131" s="508"/>
      <c r="K131" s="509"/>
      <c r="L131" s="508"/>
      <c r="M131" s="510"/>
    </row>
    <row r="132" spans="1:13" s="50" customFormat="1" ht="57.75" customHeight="1">
      <c r="A132" s="255"/>
      <c r="B132" s="511"/>
      <c r="C132" s="1157"/>
      <c r="D132" s="542" t="s">
        <v>705</v>
      </c>
      <c r="E132" s="512" t="s">
        <v>970</v>
      </c>
      <c r="F132" s="513"/>
      <c r="G132" s="514"/>
      <c r="H132" s="412"/>
      <c r="I132" s="412"/>
      <c r="J132" s="412"/>
      <c r="K132" s="515"/>
      <c r="L132" s="516"/>
      <c r="M132" s="510"/>
    </row>
    <row r="133" spans="1:13" s="50" customFormat="1" ht="49.5" customHeight="1">
      <c r="A133" s="255"/>
      <c r="B133" s="511"/>
      <c r="C133" s="1157"/>
      <c r="D133" s="542" t="s">
        <v>705</v>
      </c>
      <c r="E133" s="512" t="s">
        <v>971</v>
      </c>
      <c r="F133" s="513"/>
      <c r="G133" s="514"/>
      <c r="H133" s="412"/>
      <c r="I133" s="412"/>
      <c r="J133" s="412"/>
      <c r="K133" s="515"/>
      <c r="L133" s="516"/>
      <c r="M133" s="510"/>
    </row>
    <row r="134" spans="1:13" s="50" customFormat="1" ht="49.5" customHeight="1">
      <c r="A134" s="255"/>
      <c r="B134" s="511"/>
      <c r="C134" s="1157"/>
      <c r="D134" s="542" t="s">
        <v>705</v>
      </c>
      <c r="E134" s="512" t="s">
        <v>973</v>
      </c>
      <c r="F134" s="513"/>
      <c r="G134" s="514"/>
      <c r="H134" s="412"/>
      <c r="I134" s="412"/>
      <c r="J134" s="412"/>
      <c r="K134" s="515"/>
      <c r="L134" s="516"/>
      <c r="M134" s="510"/>
    </row>
    <row r="135" spans="1:13" s="50" customFormat="1" ht="49.5" customHeight="1">
      <c r="A135" s="255"/>
      <c r="B135" s="511"/>
      <c r="C135" s="1157"/>
      <c r="D135" s="542" t="s">
        <v>705</v>
      </c>
      <c r="E135" s="512" t="s">
        <v>972</v>
      </c>
      <c r="F135" s="513"/>
      <c r="G135" s="514"/>
      <c r="H135" s="412"/>
      <c r="I135" s="412"/>
      <c r="J135" s="412"/>
      <c r="K135" s="515"/>
      <c r="L135" s="516"/>
      <c r="M135" s="510"/>
    </row>
    <row r="136" spans="1:13" s="50" customFormat="1" ht="57.75" customHeight="1">
      <c r="A136" s="255"/>
      <c r="B136" s="511"/>
      <c r="C136" s="1157"/>
      <c r="D136" s="542" t="s">
        <v>705</v>
      </c>
      <c r="E136" s="512" t="s">
        <v>1070</v>
      </c>
      <c r="F136" s="513"/>
      <c r="G136" s="514"/>
      <c r="H136" s="412"/>
      <c r="I136" s="412"/>
      <c r="J136" s="412"/>
      <c r="K136" s="515"/>
      <c r="L136" s="516"/>
      <c r="M136" s="510"/>
    </row>
    <row r="137" spans="1:13" s="50" customFormat="1" ht="60" customHeight="1">
      <c r="A137" s="255"/>
      <c r="B137" s="511"/>
      <c r="C137" s="1157"/>
      <c r="D137" s="542" t="s">
        <v>705</v>
      </c>
      <c r="E137" s="512" t="s">
        <v>967</v>
      </c>
      <c r="F137" s="513"/>
      <c r="G137" s="514"/>
      <c r="H137" s="412"/>
      <c r="I137" s="412"/>
      <c r="J137" s="412"/>
      <c r="K137" s="515"/>
      <c r="L137" s="516"/>
      <c r="M137" s="510"/>
    </row>
    <row r="138" spans="1:13" s="50" customFormat="1" ht="49.5" customHeight="1">
      <c r="A138" s="255"/>
      <c r="B138" s="511"/>
      <c r="C138" s="1157"/>
      <c r="D138" s="542" t="s">
        <v>705</v>
      </c>
      <c r="E138" s="512" t="s">
        <v>974</v>
      </c>
      <c r="F138" s="513"/>
      <c r="G138" s="514"/>
      <c r="H138" s="412"/>
      <c r="I138" s="412"/>
      <c r="J138" s="412"/>
      <c r="K138" s="515"/>
      <c r="L138" s="516"/>
      <c r="M138" s="510"/>
    </row>
    <row r="139" spans="1:13" s="50" customFormat="1" ht="61.5" customHeight="1">
      <c r="A139" s="255"/>
      <c r="B139" s="511"/>
      <c r="C139" s="1157"/>
      <c r="D139" s="542" t="s">
        <v>705</v>
      </c>
      <c r="E139" s="512" t="s">
        <v>1073</v>
      </c>
      <c r="F139" s="513"/>
      <c r="G139" s="514"/>
      <c r="H139" s="412"/>
      <c r="I139" s="412"/>
      <c r="J139" s="412"/>
      <c r="K139" s="515"/>
      <c r="L139" s="516"/>
      <c r="M139" s="510"/>
    </row>
    <row r="140" spans="1:13" s="48" customFormat="1" ht="30.75" customHeight="1">
      <c r="A140" s="493"/>
      <c r="B140" s="543"/>
      <c r="C140" s="1176">
        <v>3</v>
      </c>
      <c r="D140" s="1249"/>
      <c r="E140" s="527" t="s">
        <v>890</v>
      </c>
      <c r="F140" s="1250"/>
      <c r="G140" s="1251"/>
      <c r="H140" s="1252"/>
      <c r="I140" s="1252"/>
      <c r="J140" s="1252"/>
      <c r="K140" s="1253"/>
      <c r="L140" s="532">
        <f>50000+10000+40000+5000+5000+2000+4000+12000+4000+9000+25000+2500</f>
        <v>168500</v>
      </c>
      <c r="M140" s="533">
        <f>SUM(F140:L140)</f>
        <v>168500</v>
      </c>
    </row>
    <row r="141" spans="1:13" s="56" customFormat="1" ht="32.25" customHeight="1">
      <c r="A141" s="503"/>
      <c r="B141" s="494"/>
      <c r="C141" s="1175"/>
      <c r="D141" s="542" t="s">
        <v>705</v>
      </c>
      <c r="E141" s="505" t="s">
        <v>706</v>
      </c>
      <c r="F141" s="506"/>
      <c r="G141" s="507"/>
      <c r="H141" s="508"/>
      <c r="I141" s="508"/>
      <c r="J141" s="508"/>
      <c r="K141" s="509"/>
      <c r="L141" s="508"/>
      <c r="M141" s="510"/>
    </row>
    <row r="142" spans="1:13" s="50" customFormat="1" ht="49.5" customHeight="1">
      <c r="A142" s="255"/>
      <c r="B142" s="546"/>
      <c r="C142" s="1157"/>
      <c r="D142" s="542" t="s">
        <v>705</v>
      </c>
      <c r="E142" s="512" t="s">
        <v>975</v>
      </c>
      <c r="F142" s="513"/>
      <c r="G142" s="514"/>
      <c r="H142" s="412"/>
      <c r="I142" s="412"/>
      <c r="J142" s="412"/>
      <c r="K142" s="515"/>
      <c r="L142" s="516"/>
      <c r="M142" s="510"/>
    </row>
    <row r="143" spans="1:13" s="50" customFormat="1" ht="43.5" customHeight="1">
      <c r="A143" s="255"/>
      <c r="B143" s="546"/>
      <c r="C143" s="1157"/>
      <c r="D143" s="542" t="s">
        <v>705</v>
      </c>
      <c r="E143" s="512" t="s">
        <v>976</v>
      </c>
      <c r="F143" s="513"/>
      <c r="G143" s="514"/>
      <c r="H143" s="412"/>
      <c r="I143" s="412"/>
      <c r="J143" s="412"/>
      <c r="K143" s="515"/>
      <c r="L143" s="516"/>
      <c r="M143" s="510"/>
    </row>
    <row r="144" spans="1:13" s="50" customFormat="1" ht="49.5" customHeight="1">
      <c r="A144" s="255"/>
      <c r="B144" s="546"/>
      <c r="C144" s="1157"/>
      <c r="D144" s="542" t="s">
        <v>705</v>
      </c>
      <c r="E144" s="512" t="s">
        <v>977</v>
      </c>
      <c r="F144" s="513"/>
      <c r="G144" s="514"/>
      <c r="H144" s="412"/>
      <c r="I144" s="412"/>
      <c r="J144" s="412"/>
      <c r="K144" s="515"/>
      <c r="L144" s="516"/>
      <c r="M144" s="510"/>
    </row>
    <row r="145" spans="1:13" s="50" customFormat="1" ht="38.25" customHeight="1">
      <c r="A145" s="255"/>
      <c r="B145" s="546"/>
      <c r="C145" s="1157"/>
      <c r="D145" s="542" t="s">
        <v>705</v>
      </c>
      <c r="E145" s="512" t="s">
        <v>1079</v>
      </c>
      <c r="F145" s="513"/>
      <c r="G145" s="514"/>
      <c r="H145" s="412"/>
      <c r="I145" s="412"/>
      <c r="J145" s="412"/>
      <c r="K145" s="515"/>
      <c r="L145" s="516"/>
      <c r="M145" s="510"/>
    </row>
    <row r="146" spans="1:13" s="50" customFormat="1" ht="57" customHeight="1">
      <c r="A146" s="255"/>
      <c r="B146" s="546"/>
      <c r="C146" s="1157"/>
      <c r="D146" s="542" t="s">
        <v>705</v>
      </c>
      <c r="E146" s="512" t="s">
        <v>1080</v>
      </c>
      <c r="F146" s="513"/>
      <c r="G146" s="514"/>
      <c r="H146" s="412"/>
      <c r="I146" s="412"/>
      <c r="J146" s="412"/>
      <c r="K146" s="515"/>
      <c r="L146" s="516"/>
      <c r="M146" s="510"/>
    </row>
    <row r="147" spans="1:13" s="50" customFormat="1" ht="49.5" customHeight="1">
      <c r="A147" s="255"/>
      <c r="B147" s="546"/>
      <c r="C147" s="1157"/>
      <c r="D147" s="542" t="s">
        <v>705</v>
      </c>
      <c r="E147" s="512" t="s">
        <v>1081</v>
      </c>
      <c r="F147" s="513"/>
      <c r="G147" s="514"/>
      <c r="H147" s="412"/>
      <c r="I147" s="412"/>
      <c r="J147" s="412"/>
      <c r="K147" s="515"/>
      <c r="L147" s="516"/>
      <c r="M147" s="510"/>
    </row>
    <row r="148" spans="1:13" s="50" customFormat="1" ht="49.5" customHeight="1">
      <c r="A148" s="255"/>
      <c r="B148" s="546"/>
      <c r="C148" s="1157"/>
      <c r="D148" s="542" t="s">
        <v>705</v>
      </c>
      <c r="E148" s="512" t="s">
        <v>1082</v>
      </c>
      <c r="F148" s="513"/>
      <c r="G148" s="514"/>
      <c r="H148" s="412"/>
      <c r="I148" s="412"/>
      <c r="J148" s="412"/>
      <c r="K148" s="515"/>
      <c r="L148" s="516"/>
      <c r="M148" s="510"/>
    </row>
    <row r="149" spans="1:13" s="50" customFormat="1" ht="49.5" customHeight="1">
      <c r="A149" s="255"/>
      <c r="B149" s="546"/>
      <c r="C149" s="1157"/>
      <c r="D149" s="542" t="s">
        <v>705</v>
      </c>
      <c r="E149" s="512" t="s">
        <v>1083</v>
      </c>
      <c r="F149" s="513"/>
      <c r="G149" s="514"/>
      <c r="H149" s="412"/>
      <c r="I149" s="412"/>
      <c r="J149" s="412"/>
      <c r="K149" s="515"/>
      <c r="L149" s="516"/>
      <c r="M149" s="510"/>
    </row>
    <row r="150" spans="1:13" s="50" customFormat="1" ht="49.5" customHeight="1">
      <c r="A150" s="255"/>
      <c r="B150" s="546"/>
      <c r="C150" s="1157"/>
      <c r="D150" s="542" t="s">
        <v>705</v>
      </c>
      <c r="E150" s="512" t="s">
        <v>1084</v>
      </c>
      <c r="F150" s="513"/>
      <c r="G150" s="514"/>
      <c r="H150" s="412"/>
      <c r="I150" s="412"/>
      <c r="J150" s="412"/>
      <c r="K150" s="515"/>
      <c r="L150" s="516"/>
      <c r="M150" s="510"/>
    </row>
    <row r="151" spans="1:13" s="50" customFormat="1" ht="49.5" customHeight="1">
      <c r="A151" s="255"/>
      <c r="B151" s="546"/>
      <c r="C151" s="1157"/>
      <c r="D151" s="542" t="s">
        <v>705</v>
      </c>
      <c r="E151" s="512" t="s">
        <v>1085</v>
      </c>
      <c r="F151" s="513"/>
      <c r="G151" s="514"/>
      <c r="H151" s="412"/>
      <c r="I151" s="412"/>
      <c r="J151" s="412"/>
      <c r="K151" s="515"/>
      <c r="L151" s="516"/>
      <c r="M151" s="510"/>
    </row>
    <row r="152" spans="1:13" s="50" customFormat="1" ht="60.75" customHeight="1">
      <c r="A152" s="255"/>
      <c r="B152" s="546"/>
      <c r="C152" s="1157"/>
      <c r="D152" s="542" t="s">
        <v>705</v>
      </c>
      <c r="E152" s="512" t="s">
        <v>978</v>
      </c>
      <c r="F152" s="513"/>
      <c r="G152" s="514"/>
      <c r="H152" s="412"/>
      <c r="I152" s="412"/>
      <c r="J152" s="412"/>
      <c r="K152" s="515"/>
      <c r="L152" s="516"/>
      <c r="M152" s="510"/>
    </row>
    <row r="153" spans="1:13" s="50" customFormat="1" ht="77.25" customHeight="1">
      <c r="A153" s="255"/>
      <c r="B153" s="546"/>
      <c r="C153" s="1157"/>
      <c r="D153" s="542" t="s">
        <v>705</v>
      </c>
      <c r="E153" s="512" t="s">
        <v>1086</v>
      </c>
      <c r="F153" s="513"/>
      <c r="G153" s="514"/>
      <c r="H153" s="412"/>
      <c r="I153" s="412"/>
      <c r="J153" s="412"/>
      <c r="K153" s="515"/>
      <c r="L153" s="516"/>
      <c r="M153" s="510"/>
    </row>
    <row r="154" spans="1:13" s="48" customFormat="1" ht="39" customHeight="1">
      <c r="A154" s="493"/>
      <c r="B154" s="543"/>
      <c r="C154" s="1561">
        <v>4</v>
      </c>
      <c r="D154" s="1562"/>
      <c r="E154" s="1563" t="s">
        <v>891</v>
      </c>
      <c r="F154" s="1564"/>
      <c r="G154" s="1565"/>
      <c r="H154" s="1566"/>
      <c r="I154" s="1566"/>
      <c r="J154" s="1566"/>
      <c r="K154" s="1566"/>
      <c r="L154" s="1567">
        <v>10000</v>
      </c>
      <c r="M154" s="1568">
        <f>SUM(F154:L154)</f>
        <v>10000</v>
      </c>
    </row>
    <row r="155" spans="1:13" s="48" customFormat="1" ht="27" customHeight="1">
      <c r="A155" s="493"/>
      <c r="B155" s="543"/>
      <c r="C155" s="1175">
        <v>5</v>
      </c>
      <c r="D155" s="544"/>
      <c r="E155" s="545" t="s">
        <v>892</v>
      </c>
      <c r="F155" s="497"/>
      <c r="G155" s="498"/>
      <c r="H155" s="499"/>
      <c r="I155" s="499"/>
      <c r="J155" s="499"/>
      <c r="K155" s="499"/>
      <c r="L155" s="501">
        <v>20000</v>
      </c>
      <c r="M155" s="548">
        <f>SUM(F155:L155)</f>
        <v>20000</v>
      </c>
    </row>
    <row r="156" spans="1:13" s="56" customFormat="1" ht="26.25" customHeight="1">
      <c r="A156" s="503"/>
      <c r="B156" s="494"/>
      <c r="C156" s="1175"/>
      <c r="D156" s="504"/>
      <c r="E156" s="505" t="s">
        <v>706</v>
      </c>
      <c r="F156" s="506"/>
      <c r="G156" s="507"/>
      <c r="H156" s="508"/>
      <c r="I156" s="508"/>
      <c r="J156" s="508"/>
      <c r="K156" s="509"/>
      <c r="L156" s="508"/>
      <c r="M156" s="510"/>
    </row>
    <row r="157" spans="1:13" s="50" customFormat="1" ht="54.75" customHeight="1">
      <c r="A157" s="255"/>
      <c r="B157" s="546"/>
      <c r="C157" s="1157"/>
      <c r="D157" s="542" t="s">
        <v>705</v>
      </c>
      <c r="E157" s="512" t="s">
        <v>1087</v>
      </c>
      <c r="F157" s="513"/>
      <c r="G157" s="514"/>
      <c r="H157" s="412"/>
      <c r="I157" s="412"/>
      <c r="J157" s="412"/>
      <c r="K157" s="515"/>
      <c r="L157" s="516"/>
      <c r="M157" s="510"/>
    </row>
    <row r="158" spans="1:13" s="45" customFormat="1" ht="53.25" customHeight="1">
      <c r="A158" s="255"/>
      <c r="B158" s="546"/>
      <c r="C158" s="1157"/>
      <c r="D158" s="542" t="s">
        <v>705</v>
      </c>
      <c r="E158" s="512" t="s">
        <v>1088</v>
      </c>
      <c r="F158" s="513"/>
      <c r="G158" s="514"/>
      <c r="H158" s="412"/>
      <c r="I158" s="412"/>
      <c r="J158" s="412"/>
      <c r="K158" s="515"/>
      <c r="L158" s="516"/>
      <c r="M158" s="510"/>
    </row>
    <row r="159" spans="1:13" s="48" customFormat="1" ht="30" customHeight="1">
      <c r="A159" s="493"/>
      <c r="B159" s="543"/>
      <c r="C159" s="1176">
        <v>6</v>
      </c>
      <c r="D159" s="1249"/>
      <c r="E159" s="1575" t="s">
        <v>1029</v>
      </c>
      <c r="F159" s="1250"/>
      <c r="G159" s="1251"/>
      <c r="H159" s="1252"/>
      <c r="I159" s="1252"/>
      <c r="J159" s="1252"/>
      <c r="K159" s="1252"/>
      <c r="L159" s="1576">
        <f>20000</f>
        <v>20000</v>
      </c>
      <c r="M159" s="1577">
        <f>SUM(F159:L159)</f>
        <v>20000</v>
      </c>
    </row>
    <row r="160" spans="1:13" s="45" customFormat="1" ht="26.25" customHeight="1">
      <c r="A160" s="255"/>
      <c r="B160" s="546"/>
      <c r="C160" s="1157"/>
      <c r="D160" s="557"/>
      <c r="E160" s="505" t="s">
        <v>706</v>
      </c>
      <c r="F160" s="513"/>
      <c r="G160" s="514"/>
      <c r="H160" s="412"/>
      <c r="I160" s="412"/>
      <c r="J160" s="412"/>
      <c r="K160" s="515"/>
      <c r="L160" s="412"/>
      <c r="M160" s="510"/>
    </row>
    <row r="161" spans="1:13" s="50" customFormat="1" ht="39.75" customHeight="1">
      <c r="A161" s="255"/>
      <c r="B161" s="546"/>
      <c r="C161" s="1157"/>
      <c r="D161" s="534" t="s">
        <v>705</v>
      </c>
      <c r="E161" s="535" t="s">
        <v>195</v>
      </c>
      <c r="F161" s="536"/>
      <c r="G161" s="537"/>
      <c r="H161" s="428"/>
      <c r="I161" s="428"/>
      <c r="J161" s="428"/>
      <c r="K161" s="538"/>
      <c r="L161" s="539"/>
      <c r="M161" s="540"/>
    </row>
    <row r="162" spans="1:13" s="46" customFormat="1" ht="67.5" customHeight="1">
      <c r="A162" s="158"/>
      <c r="B162" s="166"/>
      <c r="C162" s="1177">
        <v>7</v>
      </c>
      <c r="D162" s="558"/>
      <c r="E162" s="559" t="s">
        <v>139</v>
      </c>
      <c r="F162" s="320"/>
      <c r="G162" s="203"/>
      <c r="H162" s="202"/>
      <c r="I162" s="202"/>
      <c r="J162" s="202"/>
      <c r="K162" s="200"/>
      <c r="L162" s="560">
        <v>30000</v>
      </c>
      <c r="M162" s="561">
        <f>SUM(F162:L162)</f>
        <v>30000</v>
      </c>
    </row>
    <row r="163" spans="1:13" s="46" customFormat="1" ht="86.25" customHeight="1">
      <c r="A163" s="158"/>
      <c r="B163" s="1255"/>
      <c r="C163" s="1178">
        <v>8</v>
      </c>
      <c r="D163" s="562"/>
      <c r="E163" s="563" t="s">
        <v>636</v>
      </c>
      <c r="F163" s="183"/>
      <c r="G163" s="186"/>
      <c r="H163" s="185"/>
      <c r="I163" s="185"/>
      <c r="J163" s="185"/>
      <c r="K163" s="187"/>
      <c r="L163" s="564">
        <v>145000</v>
      </c>
      <c r="M163" s="565">
        <f>SUM(F163:L163)</f>
        <v>145000</v>
      </c>
    </row>
    <row r="164" spans="1:13" s="46" customFormat="1" ht="49.5" customHeight="1">
      <c r="A164" s="158"/>
      <c r="B164" s="1255"/>
      <c r="C164" s="1179">
        <v>9</v>
      </c>
      <c r="D164" s="566"/>
      <c r="E164" s="567" t="s">
        <v>116</v>
      </c>
      <c r="F164" s="320"/>
      <c r="G164" s="203"/>
      <c r="H164" s="202"/>
      <c r="I164" s="202"/>
      <c r="J164" s="202"/>
      <c r="K164" s="202"/>
      <c r="L164" s="202">
        <v>30000</v>
      </c>
      <c r="M164" s="561">
        <f>L164</f>
        <v>30000</v>
      </c>
    </row>
    <row r="165" spans="1:13" s="46" customFormat="1" ht="49.5" customHeight="1">
      <c r="A165" s="158"/>
      <c r="B165" s="1255"/>
      <c r="C165" s="1179">
        <v>10</v>
      </c>
      <c r="D165" s="566"/>
      <c r="E165" s="567" t="s">
        <v>117</v>
      </c>
      <c r="F165" s="320"/>
      <c r="G165" s="203"/>
      <c r="H165" s="202"/>
      <c r="I165" s="202"/>
      <c r="J165" s="202"/>
      <c r="K165" s="202"/>
      <c r="L165" s="202">
        <f>40000-10000</f>
        <v>30000</v>
      </c>
      <c r="M165" s="561">
        <f>L165</f>
        <v>30000</v>
      </c>
    </row>
    <row r="166" spans="1:13" s="46" customFormat="1" ht="49.5" customHeight="1">
      <c r="A166" s="158"/>
      <c r="B166" s="1255"/>
      <c r="C166" s="1179">
        <v>11</v>
      </c>
      <c r="D166" s="566"/>
      <c r="E166" s="567" t="s">
        <v>118</v>
      </c>
      <c r="F166" s="320"/>
      <c r="G166" s="203"/>
      <c r="H166" s="202"/>
      <c r="I166" s="202"/>
      <c r="J166" s="202"/>
      <c r="K166" s="202"/>
      <c r="L166" s="202">
        <v>8000</v>
      </c>
      <c r="M166" s="561">
        <f>L166</f>
        <v>8000</v>
      </c>
    </row>
    <row r="167" spans="1:13" s="46" customFormat="1" ht="63" customHeight="1">
      <c r="A167" s="158"/>
      <c r="B167" s="1255"/>
      <c r="C167" s="1180">
        <v>12</v>
      </c>
      <c r="D167" s="568"/>
      <c r="E167" s="182" t="s">
        <v>119</v>
      </c>
      <c r="F167" s="183"/>
      <c r="G167" s="186"/>
      <c r="H167" s="185"/>
      <c r="I167" s="185"/>
      <c r="J167" s="185"/>
      <c r="K167" s="185"/>
      <c r="L167" s="185">
        <v>14000</v>
      </c>
      <c r="M167" s="565">
        <f>L167</f>
        <v>14000</v>
      </c>
    </row>
    <row r="168" spans="1:13" s="46" customFormat="1" ht="87.75" customHeight="1">
      <c r="A168" s="158"/>
      <c r="B168" s="1256"/>
      <c r="C168" s="1181">
        <v>13</v>
      </c>
      <c r="D168" s="569"/>
      <c r="E168" s="570" t="s">
        <v>4</v>
      </c>
      <c r="F168" s="571"/>
      <c r="G168" s="572"/>
      <c r="H168" s="573"/>
      <c r="I168" s="573"/>
      <c r="J168" s="573"/>
      <c r="K168" s="573"/>
      <c r="L168" s="573">
        <v>14000</v>
      </c>
      <c r="M168" s="574">
        <f>L168</f>
        <v>14000</v>
      </c>
    </row>
    <row r="169" spans="1:13" s="40" customFormat="1" ht="45.75" customHeight="1">
      <c r="A169" s="257"/>
      <c r="B169" s="575">
        <v>75075</v>
      </c>
      <c r="C169" s="1182"/>
      <c r="D169" s="576"/>
      <c r="E169" s="577" t="s">
        <v>741</v>
      </c>
      <c r="F169" s="578">
        <f>F170</f>
        <v>0</v>
      </c>
      <c r="G169" s="579">
        <f aca="true" t="shared" si="22" ref="G169:M169">G170</f>
        <v>0</v>
      </c>
      <c r="H169" s="579">
        <f t="shared" si="22"/>
        <v>0</v>
      </c>
      <c r="I169" s="579">
        <f t="shared" si="22"/>
        <v>0</v>
      </c>
      <c r="J169" s="579">
        <f t="shared" si="22"/>
        <v>0</v>
      </c>
      <c r="K169" s="579">
        <f t="shared" si="22"/>
        <v>0</v>
      </c>
      <c r="L169" s="579">
        <f t="shared" si="22"/>
        <v>60000</v>
      </c>
      <c r="M169" s="580">
        <f t="shared" si="22"/>
        <v>60000</v>
      </c>
    </row>
    <row r="170" spans="1:13" s="58" customFormat="1" ht="49.5" customHeight="1">
      <c r="A170" s="503"/>
      <c r="B170" s="581"/>
      <c r="C170" s="1183">
        <v>1</v>
      </c>
      <c r="D170" s="582"/>
      <c r="E170" s="583" t="s">
        <v>894</v>
      </c>
      <c r="F170" s="584"/>
      <c r="G170" s="585"/>
      <c r="H170" s="586"/>
      <c r="I170" s="586"/>
      <c r="J170" s="586"/>
      <c r="K170" s="586"/>
      <c r="L170" s="587">
        <v>60000</v>
      </c>
      <c r="M170" s="588">
        <f>SUM(F170:L170)</f>
        <v>60000</v>
      </c>
    </row>
    <row r="171" spans="1:13" s="50" customFormat="1" ht="30" customHeight="1">
      <c r="A171" s="589"/>
      <c r="B171" s="511"/>
      <c r="C171" s="1157"/>
      <c r="D171" s="258"/>
      <c r="E171" s="2054" t="s">
        <v>706</v>
      </c>
      <c r="F171" s="2054"/>
      <c r="G171" s="2054"/>
      <c r="H171" s="2054"/>
      <c r="I171" s="2054"/>
      <c r="J171" s="2054"/>
      <c r="K171" s="2054"/>
      <c r="L171" s="2054"/>
      <c r="M171" s="2055"/>
    </row>
    <row r="172" spans="1:13" s="50" customFormat="1" ht="39.75" customHeight="1">
      <c r="A172" s="255"/>
      <c r="B172" s="511"/>
      <c r="C172" s="1157"/>
      <c r="D172" s="542" t="s">
        <v>705</v>
      </c>
      <c r="E172" s="2054" t="s">
        <v>48</v>
      </c>
      <c r="F172" s="2054"/>
      <c r="G172" s="2054"/>
      <c r="H172" s="2054"/>
      <c r="I172" s="2054"/>
      <c r="J172" s="2054"/>
      <c r="K172" s="2054"/>
      <c r="L172" s="2054"/>
      <c r="M172" s="2055"/>
    </row>
    <row r="173" spans="1:13" s="45" customFormat="1" ht="39.75" customHeight="1">
      <c r="A173" s="255"/>
      <c r="B173" s="594"/>
      <c r="C173" s="1163"/>
      <c r="D173" s="595" t="s">
        <v>705</v>
      </c>
      <c r="E173" s="2056" t="s">
        <v>49</v>
      </c>
      <c r="F173" s="2056"/>
      <c r="G173" s="2056"/>
      <c r="H173" s="2056"/>
      <c r="I173" s="2056"/>
      <c r="J173" s="2056"/>
      <c r="K173" s="2056"/>
      <c r="L173" s="2056"/>
      <c r="M173" s="2057"/>
    </row>
    <row r="174" spans="1:13" s="40" customFormat="1" ht="44.25" customHeight="1">
      <c r="A174" s="257"/>
      <c r="B174" s="601">
        <v>75095</v>
      </c>
      <c r="C174" s="1184"/>
      <c r="D174" s="602"/>
      <c r="E174" s="603" t="s">
        <v>24</v>
      </c>
      <c r="F174" s="604">
        <f>SUM(F175:F180)</f>
        <v>0</v>
      </c>
      <c r="G174" s="605">
        <f aca="true" t="shared" si="23" ref="G174:L174">SUM(G175:G180)</f>
        <v>0</v>
      </c>
      <c r="H174" s="605">
        <f t="shared" si="23"/>
        <v>0</v>
      </c>
      <c r="I174" s="605">
        <f t="shared" si="23"/>
        <v>0</v>
      </c>
      <c r="J174" s="605">
        <f t="shared" si="23"/>
        <v>0</v>
      </c>
      <c r="K174" s="605">
        <f t="shared" si="23"/>
        <v>0</v>
      </c>
      <c r="L174" s="606">
        <f t="shared" si="23"/>
        <v>35000</v>
      </c>
      <c r="M174" s="607">
        <f>SUM(F174:L174)</f>
        <v>35000</v>
      </c>
    </row>
    <row r="175" spans="1:13" s="56" customFormat="1" ht="33.75" customHeight="1">
      <c r="A175" s="503"/>
      <c r="B175" s="581"/>
      <c r="C175" s="1183">
        <v>1</v>
      </c>
      <c r="D175" s="582"/>
      <c r="E175" s="583" t="s">
        <v>595</v>
      </c>
      <c r="F175" s="584"/>
      <c r="G175" s="585"/>
      <c r="H175" s="586"/>
      <c r="I175" s="586"/>
      <c r="J175" s="586"/>
      <c r="K175" s="586"/>
      <c r="L175" s="587">
        <v>35000</v>
      </c>
      <c r="M175" s="588">
        <f>SUM(F175:L175)</f>
        <v>35000</v>
      </c>
    </row>
    <row r="176" spans="1:13" s="45" customFormat="1" ht="23.25">
      <c r="A176" s="255"/>
      <c r="B176" s="511"/>
      <c r="C176" s="1157"/>
      <c r="D176" s="258"/>
      <c r="E176" s="2054" t="s">
        <v>706</v>
      </c>
      <c r="F176" s="2054"/>
      <c r="G176" s="2054"/>
      <c r="H176" s="2054"/>
      <c r="I176" s="2054"/>
      <c r="J176" s="2054"/>
      <c r="K176" s="2054"/>
      <c r="L176" s="2054"/>
      <c r="M176" s="2055"/>
    </row>
    <row r="177" spans="1:13" s="50" customFormat="1" ht="34.5" customHeight="1">
      <c r="A177" s="255"/>
      <c r="B177" s="511"/>
      <c r="C177" s="1157"/>
      <c r="D177" s="542" t="s">
        <v>705</v>
      </c>
      <c r="E177" s="2054" t="s">
        <v>59</v>
      </c>
      <c r="F177" s="2054"/>
      <c r="G177" s="2054"/>
      <c r="H177" s="2054"/>
      <c r="I177" s="2054"/>
      <c r="J177" s="2054"/>
      <c r="K177" s="2054"/>
      <c r="L177" s="2054"/>
      <c r="M177" s="2055"/>
    </row>
    <row r="178" spans="1:13" s="50" customFormat="1" ht="34.5" customHeight="1">
      <c r="A178" s="255"/>
      <c r="B178" s="511"/>
      <c r="C178" s="1157"/>
      <c r="D178" s="542" t="s">
        <v>705</v>
      </c>
      <c r="E178" s="2054" t="s">
        <v>60</v>
      </c>
      <c r="F178" s="2054"/>
      <c r="G178" s="2054"/>
      <c r="H178" s="2054"/>
      <c r="I178" s="2054"/>
      <c r="J178" s="2054"/>
      <c r="K178" s="2054"/>
      <c r="L178" s="2054"/>
      <c r="M178" s="2055"/>
    </row>
    <row r="179" spans="1:13" s="50" customFormat="1" ht="34.5" customHeight="1">
      <c r="A179" s="255"/>
      <c r="B179" s="511"/>
      <c r="C179" s="1157"/>
      <c r="D179" s="542" t="s">
        <v>705</v>
      </c>
      <c r="E179" s="2054" t="s">
        <v>61</v>
      </c>
      <c r="F179" s="2054"/>
      <c r="G179" s="2054"/>
      <c r="H179" s="2054"/>
      <c r="I179" s="2054"/>
      <c r="J179" s="2054"/>
      <c r="K179" s="2054"/>
      <c r="L179" s="2054"/>
      <c r="M179" s="2055"/>
    </row>
    <row r="180" spans="1:13" s="50" customFormat="1" ht="34.5" customHeight="1">
      <c r="A180" s="255"/>
      <c r="B180" s="511"/>
      <c r="C180" s="1157"/>
      <c r="D180" s="542" t="s">
        <v>705</v>
      </c>
      <c r="E180" s="2054" t="s">
        <v>62</v>
      </c>
      <c r="F180" s="2054"/>
      <c r="G180" s="2054"/>
      <c r="H180" s="2054"/>
      <c r="I180" s="2054"/>
      <c r="J180" s="2054"/>
      <c r="K180" s="2054"/>
      <c r="L180" s="2054"/>
      <c r="M180" s="2055"/>
    </row>
    <row r="181" spans="1:190" s="65" customFormat="1" ht="94.5" customHeight="1">
      <c r="A181" s="626">
        <v>7</v>
      </c>
      <c r="B181" s="1525">
        <v>751</v>
      </c>
      <c r="C181" s="1526"/>
      <c r="D181" s="1527"/>
      <c r="E181" s="629" t="s">
        <v>215</v>
      </c>
      <c r="F181" s="630">
        <f>F182</f>
        <v>2800</v>
      </c>
      <c r="G181" s="630">
        <f aca="true" t="shared" si="24" ref="G181:L182">G182</f>
        <v>0</v>
      </c>
      <c r="H181" s="630">
        <f t="shared" si="24"/>
        <v>0</v>
      </c>
      <c r="I181" s="630">
        <f t="shared" si="24"/>
        <v>0</v>
      </c>
      <c r="J181" s="630">
        <f t="shared" si="24"/>
        <v>0</v>
      </c>
      <c r="K181" s="630">
        <f t="shared" si="24"/>
        <v>0</v>
      </c>
      <c r="L181" s="630">
        <f t="shared" si="24"/>
        <v>0</v>
      </c>
      <c r="M181" s="633">
        <f>M182</f>
        <v>2800</v>
      </c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</row>
    <row r="182" spans="1:13" s="40" customFormat="1" ht="60" customHeight="1">
      <c r="A182" s="257"/>
      <c r="B182" s="601">
        <v>75101</v>
      </c>
      <c r="C182" s="1184"/>
      <c r="D182" s="602"/>
      <c r="E182" s="603" t="s">
        <v>216</v>
      </c>
      <c r="F182" s="604">
        <f>F183</f>
        <v>2800</v>
      </c>
      <c r="G182" s="604">
        <f t="shared" si="24"/>
        <v>0</v>
      </c>
      <c r="H182" s="604">
        <f t="shared" si="24"/>
        <v>0</v>
      </c>
      <c r="I182" s="604">
        <f t="shared" si="24"/>
        <v>0</v>
      </c>
      <c r="J182" s="604">
        <f t="shared" si="24"/>
        <v>0</v>
      </c>
      <c r="K182" s="604">
        <f t="shared" si="24"/>
        <v>0</v>
      </c>
      <c r="L182" s="604">
        <f t="shared" si="24"/>
        <v>0</v>
      </c>
      <c r="M182" s="634">
        <f>M183</f>
        <v>2800</v>
      </c>
    </row>
    <row r="183" spans="1:13" s="58" customFormat="1" ht="49.5" customHeight="1">
      <c r="A183" s="503"/>
      <c r="B183" s="581"/>
      <c r="C183" s="1183">
        <v>1</v>
      </c>
      <c r="D183" s="582"/>
      <c r="E183" s="583" t="s">
        <v>727</v>
      </c>
      <c r="F183" s="584">
        <v>2800</v>
      </c>
      <c r="G183" s="585"/>
      <c r="H183" s="586"/>
      <c r="I183" s="586"/>
      <c r="J183" s="586"/>
      <c r="K183" s="586"/>
      <c r="L183" s="587"/>
      <c r="M183" s="588">
        <f>SUM(F183:L183)</f>
        <v>2800</v>
      </c>
    </row>
    <row r="184" spans="1:190" s="65" customFormat="1" ht="49.5" customHeight="1">
      <c r="A184" s="626">
        <v>8</v>
      </c>
      <c r="B184" s="1525">
        <v>752</v>
      </c>
      <c r="C184" s="1526"/>
      <c r="D184" s="1527"/>
      <c r="E184" s="629" t="s">
        <v>597</v>
      </c>
      <c r="F184" s="630">
        <f>F185</f>
        <v>0</v>
      </c>
      <c r="G184" s="631">
        <f aca="true" t="shared" si="25" ref="G184:M184">G185</f>
        <v>0</v>
      </c>
      <c r="H184" s="632">
        <f t="shared" si="25"/>
        <v>0</v>
      </c>
      <c r="I184" s="632">
        <f t="shared" si="25"/>
        <v>0</v>
      </c>
      <c r="J184" s="632">
        <f t="shared" si="25"/>
        <v>0</v>
      </c>
      <c r="K184" s="632">
        <f t="shared" si="25"/>
        <v>0</v>
      </c>
      <c r="L184" s="632">
        <f t="shared" si="25"/>
        <v>2000</v>
      </c>
      <c r="M184" s="633">
        <f t="shared" si="25"/>
        <v>2000</v>
      </c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</row>
    <row r="185" spans="1:13" s="40" customFormat="1" ht="44.25" customHeight="1">
      <c r="A185" s="257"/>
      <c r="B185" s="601">
        <v>75212</v>
      </c>
      <c r="C185" s="1184"/>
      <c r="D185" s="602"/>
      <c r="E185" s="603" t="s">
        <v>598</v>
      </c>
      <c r="F185" s="604">
        <f>F186+F187</f>
        <v>0</v>
      </c>
      <c r="G185" s="605">
        <f aca="true" t="shared" si="26" ref="G185:M185">G186+G187</f>
        <v>0</v>
      </c>
      <c r="H185" s="605">
        <f t="shared" si="26"/>
        <v>0</v>
      </c>
      <c r="I185" s="605">
        <f t="shared" si="26"/>
        <v>0</v>
      </c>
      <c r="J185" s="605">
        <f t="shared" si="26"/>
        <v>0</v>
      </c>
      <c r="K185" s="605">
        <f t="shared" si="26"/>
        <v>0</v>
      </c>
      <c r="L185" s="605">
        <f t="shared" si="26"/>
        <v>2000</v>
      </c>
      <c r="M185" s="634">
        <f t="shared" si="26"/>
        <v>2000</v>
      </c>
    </row>
    <row r="186" spans="1:13" s="45" customFormat="1" ht="60" customHeight="1">
      <c r="A186" s="255"/>
      <c r="B186" s="1257"/>
      <c r="C186" s="1528">
        <v>1</v>
      </c>
      <c r="D186" s="635"/>
      <c r="E186" s="636" t="s">
        <v>599</v>
      </c>
      <c r="F186" s="637"/>
      <c r="G186" s="638"/>
      <c r="H186" s="639"/>
      <c r="I186" s="638"/>
      <c r="J186" s="639"/>
      <c r="K186" s="638"/>
      <c r="L186" s="640">
        <v>1000</v>
      </c>
      <c r="M186" s="641">
        <f>L186</f>
        <v>1000</v>
      </c>
    </row>
    <row r="187" spans="1:13" s="45" customFormat="1" ht="81" customHeight="1">
      <c r="A187" s="255"/>
      <c r="B187" s="1258"/>
      <c r="C187" s="1163">
        <v>2</v>
      </c>
      <c r="D187" s="595"/>
      <c r="E187" s="570" t="s">
        <v>600</v>
      </c>
      <c r="F187" s="621"/>
      <c r="G187" s="622"/>
      <c r="H187" s="623"/>
      <c r="I187" s="622"/>
      <c r="J187" s="623"/>
      <c r="K187" s="622"/>
      <c r="L187" s="642">
        <v>1000</v>
      </c>
      <c r="M187" s="643">
        <f>L187</f>
        <v>1000</v>
      </c>
    </row>
    <row r="188" spans="1:190" s="65" customFormat="1" ht="59.25" customHeight="1">
      <c r="A188" s="626">
        <v>9</v>
      </c>
      <c r="B188" s="627">
        <v>754</v>
      </c>
      <c r="C188" s="1185"/>
      <c r="D188" s="628"/>
      <c r="E188" s="629" t="s">
        <v>739</v>
      </c>
      <c r="F188" s="630">
        <f aca="true" t="shared" si="27" ref="F188:M188">F189+F203+F206</f>
        <v>200</v>
      </c>
      <c r="G188" s="631">
        <f t="shared" si="27"/>
        <v>0</v>
      </c>
      <c r="H188" s="632">
        <f t="shared" si="27"/>
        <v>0</v>
      </c>
      <c r="I188" s="632">
        <f t="shared" si="27"/>
        <v>0</v>
      </c>
      <c r="J188" s="632">
        <f t="shared" si="27"/>
        <v>0</v>
      </c>
      <c r="K188" s="632">
        <f t="shared" si="27"/>
        <v>0</v>
      </c>
      <c r="L188" s="632">
        <f t="shared" si="27"/>
        <v>536188</v>
      </c>
      <c r="M188" s="633">
        <f t="shared" si="27"/>
        <v>536388</v>
      </c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</row>
    <row r="189" spans="1:190" s="49" customFormat="1" ht="44.25" customHeight="1">
      <c r="A189" s="644"/>
      <c r="B189" s="645">
        <v>75412</v>
      </c>
      <c r="C189" s="1186"/>
      <c r="D189" s="646"/>
      <c r="E189" s="647" t="s">
        <v>601</v>
      </c>
      <c r="F189" s="648">
        <f>F190+F192</f>
        <v>0</v>
      </c>
      <c r="G189" s="649">
        <f aca="true" t="shared" si="28" ref="G189:M189">G190+G192</f>
        <v>0</v>
      </c>
      <c r="H189" s="648">
        <f t="shared" si="28"/>
        <v>0</v>
      </c>
      <c r="I189" s="648">
        <f t="shared" si="28"/>
        <v>0</v>
      </c>
      <c r="J189" s="648">
        <f t="shared" si="28"/>
        <v>0</v>
      </c>
      <c r="K189" s="648">
        <f t="shared" si="28"/>
        <v>0</v>
      </c>
      <c r="L189" s="648">
        <f t="shared" si="28"/>
        <v>232000</v>
      </c>
      <c r="M189" s="648">
        <f t="shared" si="28"/>
        <v>232000</v>
      </c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</row>
    <row r="190" spans="1:13" s="43" customFormat="1" ht="39.75" customHeight="1">
      <c r="A190" s="400"/>
      <c r="B190" s="316"/>
      <c r="C190" s="1157" t="s">
        <v>602</v>
      </c>
      <c r="D190" s="181"/>
      <c r="E190" s="650" t="s">
        <v>69</v>
      </c>
      <c r="F190" s="651"/>
      <c r="G190" s="652"/>
      <c r="H190" s="651"/>
      <c r="I190" s="651"/>
      <c r="J190" s="651"/>
      <c r="K190" s="651"/>
      <c r="L190" s="1570">
        <v>20000</v>
      </c>
      <c r="M190" s="654">
        <f>SUM(F190:L190)</f>
        <v>20000</v>
      </c>
    </row>
    <row r="191" spans="1:13" s="50" customFormat="1" ht="59.25" customHeight="1">
      <c r="A191" s="414"/>
      <c r="B191" s="256"/>
      <c r="C191" s="1157"/>
      <c r="D191" s="258"/>
      <c r="E191" s="512" t="s">
        <v>670</v>
      </c>
      <c r="F191" s="260"/>
      <c r="G191" s="261"/>
      <c r="H191" s="260"/>
      <c r="I191" s="260"/>
      <c r="J191" s="260"/>
      <c r="K191" s="260"/>
      <c r="L191" s="1569"/>
      <c r="M191" s="262"/>
    </row>
    <row r="192" spans="1:13" s="43" customFormat="1" ht="32.25" customHeight="1">
      <c r="A192" s="400"/>
      <c r="B192" s="316"/>
      <c r="C192" s="1146" t="s">
        <v>121</v>
      </c>
      <c r="D192" s="656"/>
      <c r="E192" s="657" t="s">
        <v>979</v>
      </c>
      <c r="F192" s="658"/>
      <c r="G192" s="659"/>
      <c r="H192" s="658"/>
      <c r="I192" s="658"/>
      <c r="J192" s="658"/>
      <c r="K192" s="658"/>
      <c r="L192" s="660">
        <v>212000</v>
      </c>
      <c r="M192" s="654">
        <f>SUM(F192:L192)</f>
        <v>212000</v>
      </c>
    </row>
    <row r="193" spans="1:13" s="47" customFormat="1" ht="25.5" customHeight="1">
      <c r="A193" s="400"/>
      <c r="B193" s="256"/>
      <c r="C193" s="1157"/>
      <c r="D193" s="181"/>
      <c r="E193" s="259" t="s">
        <v>706</v>
      </c>
      <c r="F193" s="260"/>
      <c r="G193" s="261"/>
      <c r="H193" s="260"/>
      <c r="I193" s="260"/>
      <c r="J193" s="260"/>
      <c r="K193" s="260"/>
      <c r="L193" s="260"/>
      <c r="M193" s="183"/>
    </row>
    <row r="194" spans="1:13" s="60" customFormat="1" ht="33" customHeight="1">
      <c r="A194" s="445"/>
      <c r="B194" s="272"/>
      <c r="C194" s="1157">
        <v>1</v>
      </c>
      <c r="D194" s="661"/>
      <c r="E194" s="182" t="s">
        <v>861</v>
      </c>
      <c r="F194" s="1942"/>
      <c r="G194" s="1943"/>
      <c r="H194" s="1942"/>
      <c r="I194" s="260"/>
      <c r="J194" s="260"/>
      <c r="K194" s="260"/>
      <c r="L194" s="1942"/>
      <c r="M194" s="1942"/>
    </row>
    <row r="195" spans="1:13" s="60" customFormat="1" ht="53.25" customHeight="1">
      <c r="A195" s="445"/>
      <c r="B195" s="272"/>
      <c r="C195" s="1157">
        <v>2</v>
      </c>
      <c r="D195" s="661"/>
      <c r="E195" s="182" t="s">
        <v>862</v>
      </c>
      <c r="F195" s="1942"/>
      <c r="G195" s="1943"/>
      <c r="H195" s="1942"/>
      <c r="I195" s="260"/>
      <c r="J195" s="260"/>
      <c r="K195" s="260"/>
      <c r="L195" s="1942"/>
      <c r="M195" s="1942"/>
    </row>
    <row r="196" spans="1:13" s="60" customFormat="1" ht="33.75" customHeight="1">
      <c r="A196" s="445"/>
      <c r="B196" s="272"/>
      <c r="C196" s="1157">
        <v>3</v>
      </c>
      <c r="D196" s="661"/>
      <c r="E196" s="182" t="s">
        <v>863</v>
      </c>
      <c r="F196" s="1942"/>
      <c r="G196" s="1943"/>
      <c r="H196" s="1942"/>
      <c r="I196" s="260"/>
      <c r="J196" s="260"/>
      <c r="K196" s="260"/>
      <c r="L196" s="1942"/>
      <c r="M196" s="1942"/>
    </row>
    <row r="197" spans="1:13" s="55" customFormat="1" ht="33" customHeight="1">
      <c r="A197" s="669"/>
      <c r="B197" s="243"/>
      <c r="C197" s="1157">
        <v>4</v>
      </c>
      <c r="D197" s="430"/>
      <c r="E197" s="182" t="s">
        <v>864</v>
      </c>
      <c r="F197" s="1942"/>
      <c r="G197" s="1943"/>
      <c r="H197" s="1942"/>
      <c r="I197" s="985"/>
      <c r="J197" s="985"/>
      <c r="K197" s="985"/>
      <c r="L197" s="1942"/>
      <c r="M197" s="1942"/>
    </row>
    <row r="198" spans="1:13" s="55" customFormat="1" ht="63" customHeight="1">
      <c r="A198" s="669"/>
      <c r="B198" s="243"/>
      <c r="C198" s="1157">
        <v>5</v>
      </c>
      <c r="D198" s="430"/>
      <c r="E198" s="182" t="s">
        <v>865</v>
      </c>
      <c r="F198" s="1942"/>
      <c r="G198" s="1943"/>
      <c r="H198" s="1942"/>
      <c r="I198" s="985"/>
      <c r="J198" s="985"/>
      <c r="K198" s="985"/>
      <c r="L198" s="1942"/>
      <c r="M198" s="1942"/>
    </row>
    <row r="199" spans="1:13" s="55" customFormat="1" ht="51.75" customHeight="1">
      <c r="A199" s="669"/>
      <c r="B199" s="243"/>
      <c r="C199" s="1157">
        <v>6</v>
      </c>
      <c r="D199" s="430"/>
      <c r="E199" s="182" t="s">
        <v>866</v>
      </c>
      <c r="F199" s="1942"/>
      <c r="G199" s="1943"/>
      <c r="H199" s="1942"/>
      <c r="I199" s="985"/>
      <c r="J199" s="985"/>
      <c r="K199" s="985"/>
      <c r="L199" s="1942"/>
      <c r="M199" s="1942"/>
    </row>
    <row r="200" spans="1:13" s="55" customFormat="1" ht="63.75" customHeight="1">
      <c r="A200" s="669"/>
      <c r="B200" s="243"/>
      <c r="C200" s="1157">
        <v>7</v>
      </c>
      <c r="D200" s="430"/>
      <c r="E200" s="182" t="s">
        <v>867</v>
      </c>
      <c r="F200" s="1942"/>
      <c r="G200" s="1943"/>
      <c r="H200" s="1942"/>
      <c r="I200" s="985"/>
      <c r="J200" s="985"/>
      <c r="K200" s="985"/>
      <c r="L200" s="1942"/>
      <c r="M200" s="1942"/>
    </row>
    <row r="201" spans="1:13" s="55" customFormat="1" ht="42.75" customHeight="1">
      <c r="A201" s="669"/>
      <c r="B201" s="243"/>
      <c r="C201" s="1157">
        <v>8</v>
      </c>
      <c r="D201" s="430"/>
      <c r="E201" s="182" t="s">
        <v>868</v>
      </c>
      <c r="F201" s="1942"/>
      <c r="G201" s="1943"/>
      <c r="H201" s="1942"/>
      <c r="I201" s="985"/>
      <c r="J201" s="985"/>
      <c r="K201" s="985"/>
      <c r="L201" s="1942"/>
      <c r="M201" s="1942"/>
    </row>
    <row r="202" spans="1:13" s="55" customFormat="1" ht="39.75" customHeight="1">
      <c r="A202" s="669"/>
      <c r="B202" s="243"/>
      <c r="C202" s="1157">
        <v>9</v>
      </c>
      <c r="D202" s="430"/>
      <c r="E202" s="182" t="s">
        <v>869</v>
      </c>
      <c r="F202" s="1942"/>
      <c r="G202" s="1943"/>
      <c r="H202" s="1942"/>
      <c r="I202" s="985"/>
      <c r="J202" s="985"/>
      <c r="K202" s="985"/>
      <c r="L202" s="1942"/>
      <c r="M202" s="1942"/>
    </row>
    <row r="203" spans="1:42" s="63" customFormat="1" ht="43.5" customHeight="1">
      <c r="A203" s="677"/>
      <c r="B203" s="678">
        <v>75414</v>
      </c>
      <c r="C203" s="1187"/>
      <c r="D203" s="679"/>
      <c r="E203" s="680" t="s">
        <v>901</v>
      </c>
      <c r="F203" s="681">
        <f>F204+F205</f>
        <v>200</v>
      </c>
      <c r="G203" s="682">
        <f aca="true" t="shared" si="29" ref="G203:M203">G204+G205</f>
        <v>0</v>
      </c>
      <c r="H203" s="683">
        <f t="shared" si="29"/>
        <v>0</v>
      </c>
      <c r="I203" s="683">
        <f t="shared" si="29"/>
        <v>0</v>
      </c>
      <c r="J203" s="683">
        <f t="shared" si="29"/>
        <v>0</v>
      </c>
      <c r="K203" s="683">
        <f t="shared" si="29"/>
        <v>0</v>
      </c>
      <c r="L203" s="683">
        <f t="shared" si="29"/>
        <v>600</v>
      </c>
      <c r="M203" s="684">
        <f t="shared" si="29"/>
        <v>800</v>
      </c>
      <c r="N203" s="7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</row>
    <row r="204" spans="1:13" s="47" customFormat="1" ht="39.75" customHeight="1">
      <c r="A204" s="420"/>
      <c r="B204" s="685"/>
      <c r="C204" s="1528">
        <v>1</v>
      </c>
      <c r="D204" s="1529"/>
      <c r="E204" s="636" t="s">
        <v>76</v>
      </c>
      <c r="F204" s="1530">
        <v>200</v>
      </c>
      <c r="G204" s="1531"/>
      <c r="H204" s="1532"/>
      <c r="I204" s="1533"/>
      <c r="J204" s="1533"/>
      <c r="K204" s="1533"/>
      <c r="L204" s="1532">
        <v>100</v>
      </c>
      <c r="M204" s="1534">
        <f>SUM(F204:L204)</f>
        <v>300</v>
      </c>
    </row>
    <row r="205" spans="1:13" s="47" customFormat="1" ht="39.75" customHeight="1">
      <c r="A205" s="420"/>
      <c r="B205" s="691"/>
      <c r="C205" s="1157">
        <v>2</v>
      </c>
      <c r="D205" s="437"/>
      <c r="E205" s="182" t="s">
        <v>902</v>
      </c>
      <c r="F205" s="692"/>
      <c r="G205" s="693"/>
      <c r="H205" s="694"/>
      <c r="I205" s="349"/>
      <c r="J205" s="349"/>
      <c r="K205" s="349"/>
      <c r="L205" s="694">
        <v>500</v>
      </c>
      <c r="M205" s="695">
        <f>L205</f>
        <v>500</v>
      </c>
    </row>
    <row r="206" spans="1:42" s="63" customFormat="1" ht="43.5" customHeight="1">
      <c r="A206" s="696"/>
      <c r="B206" s="697">
        <v>75416</v>
      </c>
      <c r="C206" s="1187"/>
      <c r="D206" s="679"/>
      <c r="E206" s="680" t="s">
        <v>742</v>
      </c>
      <c r="F206" s="681">
        <f aca="true" t="shared" si="30" ref="F206:L206">F207+F214+F215+F216</f>
        <v>0</v>
      </c>
      <c r="G206" s="681">
        <f t="shared" si="30"/>
        <v>0</v>
      </c>
      <c r="H206" s="681">
        <f t="shared" si="30"/>
        <v>0</v>
      </c>
      <c r="I206" s="681">
        <f t="shared" si="30"/>
        <v>0</v>
      </c>
      <c r="J206" s="681">
        <f t="shared" si="30"/>
        <v>0</v>
      </c>
      <c r="K206" s="681">
        <f t="shared" si="30"/>
        <v>0</v>
      </c>
      <c r="L206" s="681">
        <f t="shared" si="30"/>
        <v>303588</v>
      </c>
      <c r="M206" s="681">
        <f>SUM(F206:L206)</f>
        <v>303588</v>
      </c>
      <c r="N206" s="7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</row>
    <row r="207" spans="1:13" s="66" customFormat="1" ht="45" customHeight="1">
      <c r="A207" s="306"/>
      <c r="B207" s="465"/>
      <c r="C207" s="1172">
        <v>1</v>
      </c>
      <c r="D207" s="458"/>
      <c r="E207" s="182" t="s">
        <v>551</v>
      </c>
      <c r="F207" s="310">
        <f>F210+F211+F212+F213</f>
        <v>0</v>
      </c>
      <c r="G207" s="310">
        <f aca="true" t="shared" si="31" ref="G207:M207">G210+G211+G212+G213</f>
        <v>0</v>
      </c>
      <c r="H207" s="310">
        <f t="shared" si="31"/>
        <v>0</v>
      </c>
      <c r="I207" s="310">
        <f t="shared" si="31"/>
        <v>0</v>
      </c>
      <c r="J207" s="310">
        <f t="shared" si="31"/>
        <v>0</v>
      </c>
      <c r="K207" s="310">
        <f t="shared" si="31"/>
        <v>0</v>
      </c>
      <c r="L207" s="310">
        <f>SUM(L210:L213)</f>
        <v>213588</v>
      </c>
      <c r="M207" s="310">
        <f t="shared" si="31"/>
        <v>213588</v>
      </c>
    </row>
    <row r="208" spans="1:13" s="6" customFormat="1" ht="80.25" customHeight="1">
      <c r="A208" s="464"/>
      <c r="B208" s="465"/>
      <c r="C208" s="1172"/>
      <c r="D208" s="458"/>
      <c r="E208" s="698" t="s">
        <v>50</v>
      </c>
      <c r="F208" s="360"/>
      <c r="G208" s="361"/>
      <c r="H208" s="360"/>
      <c r="I208" s="360"/>
      <c r="J208" s="360"/>
      <c r="K208" s="186"/>
      <c r="L208" s="185"/>
      <c r="M208" s="187"/>
    </row>
    <row r="209" spans="1:13" s="6" customFormat="1" ht="36" customHeight="1">
      <c r="A209" s="464"/>
      <c r="B209" s="465"/>
      <c r="C209" s="1172"/>
      <c r="D209" s="458"/>
      <c r="E209" s="698" t="s">
        <v>51</v>
      </c>
      <c r="F209" s="360"/>
      <c r="G209" s="361"/>
      <c r="H209" s="360"/>
      <c r="I209" s="360"/>
      <c r="J209" s="360"/>
      <c r="K209" s="186"/>
      <c r="L209" s="185"/>
      <c r="M209" s="187"/>
    </row>
    <row r="210" spans="1:13" s="7" customFormat="1" ht="36" customHeight="1">
      <c r="A210" s="464"/>
      <c r="B210" s="465"/>
      <c r="C210" s="1172"/>
      <c r="D210" s="458"/>
      <c r="E210" s="698" t="s">
        <v>52</v>
      </c>
      <c r="F210" s="360"/>
      <c r="G210" s="361"/>
      <c r="H210" s="360"/>
      <c r="I210" s="360"/>
      <c r="J210" s="360"/>
      <c r="K210" s="311"/>
      <c r="L210" s="312">
        <v>167800</v>
      </c>
      <c r="M210" s="313">
        <f>L210</f>
        <v>167800</v>
      </c>
    </row>
    <row r="211" spans="1:13" s="7" customFormat="1" ht="57" customHeight="1">
      <c r="A211" s="464"/>
      <c r="B211" s="465"/>
      <c r="C211" s="1172"/>
      <c r="D211" s="458"/>
      <c r="E211" s="698" t="s">
        <v>1188</v>
      </c>
      <c r="F211" s="360"/>
      <c r="G211" s="361"/>
      <c r="H211" s="360"/>
      <c r="I211" s="360"/>
      <c r="J211" s="360"/>
      <c r="K211" s="311"/>
      <c r="L211" s="312">
        <v>6120</v>
      </c>
      <c r="M211" s="313">
        <f>L211</f>
        <v>6120</v>
      </c>
    </row>
    <row r="212" spans="1:13" s="6" customFormat="1" ht="57" customHeight="1">
      <c r="A212" s="464"/>
      <c r="B212" s="465"/>
      <c r="C212" s="1172"/>
      <c r="D212" s="458"/>
      <c r="E212" s="698" t="s">
        <v>53</v>
      </c>
      <c r="F212" s="360"/>
      <c r="G212" s="361"/>
      <c r="H212" s="360"/>
      <c r="I212" s="360"/>
      <c r="J212" s="360"/>
      <c r="K212" s="311"/>
      <c r="L212" s="312">
        <v>34158</v>
      </c>
      <c r="M212" s="313">
        <f>L212</f>
        <v>34158</v>
      </c>
    </row>
    <row r="213" spans="1:13" s="6" customFormat="1" ht="57" customHeight="1">
      <c r="A213" s="464"/>
      <c r="B213" s="465"/>
      <c r="C213" s="1174"/>
      <c r="D213" s="472"/>
      <c r="E213" s="480" t="s">
        <v>54</v>
      </c>
      <c r="F213" s="476"/>
      <c r="G213" s="481"/>
      <c r="H213" s="476"/>
      <c r="I213" s="476"/>
      <c r="J213" s="476"/>
      <c r="K213" s="477"/>
      <c r="L213" s="699">
        <v>5510</v>
      </c>
      <c r="M213" s="479">
        <f>L213</f>
        <v>5510</v>
      </c>
    </row>
    <row r="214" spans="1:13" s="55" customFormat="1" ht="31.5" customHeight="1">
      <c r="A214" s="700"/>
      <c r="B214" s="701"/>
      <c r="C214" s="1153">
        <v>2</v>
      </c>
      <c r="D214" s="317"/>
      <c r="E214" s="223" t="s">
        <v>405</v>
      </c>
      <c r="F214" s="982"/>
      <c r="G214" s="1539"/>
      <c r="H214" s="227"/>
      <c r="I214" s="227"/>
      <c r="J214" s="227"/>
      <c r="K214" s="227"/>
      <c r="L214" s="227">
        <v>73000</v>
      </c>
      <c r="M214" s="228">
        <v>73000</v>
      </c>
    </row>
    <row r="215" spans="1:13" s="55" customFormat="1" ht="57" customHeight="1">
      <c r="A215" s="700"/>
      <c r="B215" s="701"/>
      <c r="C215" s="1153">
        <v>3</v>
      </c>
      <c r="D215" s="317"/>
      <c r="E215" s="223" t="s">
        <v>8</v>
      </c>
      <c r="F215" s="982"/>
      <c r="G215" s="1539"/>
      <c r="H215" s="227"/>
      <c r="I215" s="227"/>
      <c r="J215" s="227"/>
      <c r="K215" s="227"/>
      <c r="L215" s="227">
        <v>16000</v>
      </c>
      <c r="M215" s="228">
        <f>L215</f>
        <v>16000</v>
      </c>
    </row>
    <row r="216" spans="1:13" s="61" customFormat="1" ht="44.25" customHeight="1">
      <c r="A216" s="710"/>
      <c r="B216" s="711"/>
      <c r="C216" s="1163">
        <v>4</v>
      </c>
      <c r="D216" s="345"/>
      <c r="E216" s="1248" t="s">
        <v>9</v>
      </c>
      <c r="F216" s="1535"/>
      <c r="G216" s="1536"/>
      <c r="H216" s="1537"/>
      <c r="I216" s="1537"/>
      <c r="J216" s="1537"/>
      <c r="K216" s="1537"/>
      <c r="L216" s="1537">
        <v>1000</v>
      </c>
      <c r="M216" s="1538">
        <f>L216</f>
        <v>1000</v>
      </c>
    </row>
    <row r="217" spans="1:13" s="51" customFormat="1" ht="104.25" customHeight="1">
      <c r="A217" s="716">
        <v>10</v>
      </c>
      <c r="B217" s="152">
        <v>756</v>
      </c>
      <c r="C217" s="1148"/>
      <c r="D217" s="154"/>
      <c r="E217" s="155" t="s">
        <v>903</v>
      </c>
      <c r="F217" s="156">
        <f>F218</f>
        <v>0</v>
      </c>
      <c r="G217" s="157">
        <f aca="true" t="shared" si="32" ref="G217:M217">G218</f>
        <v>0</v>
      </c>
      <c r="H217" s="157">
        <f t="shared" si="32"/>
        <v>0</v>
      </c>
      <c r="I217" s="157">
        <f t="shared" si="32"/>
        <v>0</v>
      </c>
      <c r="J217" s="157">
        <f t="shared" si="32"/>
        <v>0</v>
      </c>
      <c r="K217" s="157">
        <f t="shared" si="32"/>
        <v>0</v>
      </c>
      <c r="L217" s="157">
        <f t="shared" si="32"/>
        <v>338000</v>
      </c>
      <c r="M217" s="157">
        <f t="shared" si="32"/>
        <v>338000</v>
      </c>
    </row>
    <row r="218" spans="1:13" s="47" customFormat="1" ht="56.25" customHeight="1">
      <c r="A218" s="717"/>
      <c r="B218" s="305">
        <v>75647</v>
      </c>
      <c r="C218" s="1170"/>
      <c r="D218" s="718"/>
      <c r="E218" s="719" t="s">
        <v>904</v>
      </c>
      <c r="F218" s="720">
        <f>SUM(F219:F223)</f>
        <v>0</v>
      </c>
      <c r="G218" s="721">
        <f aca="true" t="shared" si="33" ref="G218:M218">SUM(G219:G223)</f>
        <v>0</v>
      </c>
      <c r="H218" s="721">
        <f t="shared" si="33"/>
        <v>0</v>
      </c>
      <c r="I218" s="721">
        <f t="shared" si="33"/>
        <v>0</v>
      </c>
      <c r="J218" s="721">
        <f t="shared" si="33"/>
        <v>0</v>
      </c>
      <c r="K218" s="721">
        <f t="shared" si="33"/>
        <v>0</v>
      </c>
      <c r="L218" s="721">
        <f t="shared" si="33"/>
        <v>338000</v>
      </c>
      <c r="M218" s="721">
        <f t="shared" si="33"/>
        <v>338000</v>
      </c>
    </row>
    <row r="219" spans="1:13" s="45" customFormat="1" ht="62.25" customHeight="1">
      <c r="A219" s="173"/>
      <c r="B219" s="180"/>
      <c r="C219" s="1152">
        <v>1</v>
      </c>
      <c r="D219" s="181"/>
      <c r="E219" s="722" t="s">
        <v>1193</v>
      </c>
      <c r="F219" s="723"/>
      <c r="G219" s="724"/>
      <c r="H219" s="725"/>
      <c r="I219" s="725"/>
      <c r="J219" s="725"/>
      <c r="K219" s="184"/>
      <c r="L219" s="185">
        <v>70000</v>
      </c>
      <c r="M219" s="726">
        <f aca="true" t="shared" si="34" ref="M219:M228">L219</f>
        <v>70000</v>
      </c>
    </row>
    <row r="220" spans="1:13" s="45" customFormat="1" ht="57" customHeight="1">
      <c r="A220" s="173"/>
      <c r="B220" s="180"/>
      <c r="C220" s="1188">
        <v>2</v>
      </c>
      <c r="D220" s="727"/>
      <c r="E220" s="728" t="s">
        <v>906</v>
      </c>
      <c r="F220" s="729"/>
      <c r="G220" s="730"/>
      <c r="H220" s="731"/>
      <c r="I220" s="731"/>
      <c r="J220" s="731"/>
      <c r="K220" s="201"/>
      <c r="L220" s="202">
        <v>10000</v>
      </c>
      <c r="M220" s="732">
        <f t="shared" si="34"/>
        <v>10000</v>
      </c>
    </row>
    <row r="221" spans="1:13" s="45" customFormat="1" ht="65.25" customHeight="1">
      <c r="A221" s="173"/>
      <c r="B221" s="180"/>
      <c r="C221" s="1188">
        <v>3</v>
      </c>
      <c r="D221" s="727"/>
      <c r="E221" s="728" t="s">
        <v>907</v>
      </c>
      <c r="F221" s="729"/>
      <c r="G221" s="730"/>
      <c r="H221" s="731"/>
      <c r="I221" s="731"/>
      <c r="J221" s="731"/>
      <c r="K221" s="201"/>
      <c r="L221" s="202">
        <v>3000</v>
      </c>
      <c r="M221" s="732">
        <f t="shared" si="34"/>
        <v>3000</v>
      </c>
    </row>
    <row r="222" spans="1:13" s="46" customFormat="1" ht="78.75" customHeight="1">
      <c r="A222" s="173"/>
      <c r="B222" s="180"/>
      <c r="C222" s="1188">
        <v>4</v>
      </c>
      <c r="D222" s="727"/>
      <c r="E222" s="728" t="s">
        <v>908</v>
      </c>
      <c r="F222" s="729"/>
      <c r="G222" s="730"/>
      <c r="H222" s="731"/>
      <c r="I222" s="731"/>
      <c r="J222" s="731"/>
      <c r="K222" s="201"/>
      <c r="L222" s="202">
        <v>5000</v>
      </c>
      <c r="M222" s="732">
        <f t="shared" si="34"/>
        <v>5000</v>
      </c>
    </row>
    <row r="223" spans="1:13" s="46" customFormat="1" ht="57" customHeight="1">
      <c r="A223" s="173"/>
      <c r="B223" s="180"/>
      <c r="C223" s="1152">
        <v>5</v>
      </c>
      <c r="D223" s="181"/>
      <c r="E223" s="722" t="s">
        <v>909</v>
      </c>
      <c r="F223" s="723"/>
      <c r="G223" s="724"/>
      <c r="H223" s="725"/>
      <c r="I223" s="725"/>
      <c r="J223" s="725"/>
      <c r="K223" s="184"/>
      <c r="L223" s="185">
        <v>250000</v>
      </c>
      <c r="M223" s="726">
        <f t="shared" si="34"/>
        <v>250000</v>
      </c>
    </row>
    <row r="224" spans="1:13" s="2" customFormat="1" ht="45" customHeight="1">
      <c r="A224" s="733">
        <v>11</v>
      </c>
      <c r="B224" s="734">
        <v>757</v>
      </c>
      <c r="C224" s="1148"/>
      <c r="D224" s="154"/>
      <c r="E224" s="155" t="s">
        <v>910</v>
      </c>
      <c r="F224" s="735"/>
      <c r="G224" s="735"/>
      <c r="H224" s="736"/>
      <c r="I224" s="736"/>
      <c r="J224" s="736"/>
      <c r="K224" s="188"/>
      <c r="L224" s="737">
        <f>L225+L227</f>
        <v>350000</v>
      </c>
      <c r="M224" s="738">
        <f t="shared" si="34"/>
        <v>350000</v>
      </c>
    </row>
    <row r="225" spans="1:13" s="2" customFormat="1" ht="45.75" customHeight="1">
      <c r="A225" s="717"/>
      <c r="B225" s="739">
        <v>75702</v>
      </c>
      <c r="C225" s="1190"/>
      <c r="D225" s="718"/>
      <c r="E225" s="719" t="s">
        <v>911</v>
      </c>
      <c r="F225" s="740"/>
      <c r="G225" s="741"/>
      <c r="H225" s="742"/>
      <c r="I225" s="742"/>
      <c r="J225" s="742"/>
      <c r="K225" s="743"/>
      <c r="L225" s="744">
        <f>L226</f>
        <v>330000</v>
      </c>
      <c r="M225" s="745">
        <f t="shared" si="34"/>
        <v>330000</v>
      </c>
    </row>
    <row r="226" spans="1:13" s="3" customFormat="1" ht="43.5" customHeight="1">
      <c r="A226" s="173"/>
      <c r="B226" s="746"/>
      <c r="C226" s="1191">
        <v>1</v>
      </c>
      <c r="D226" s="747"/>
      <c r="E226" s="748" t="s">
        <v>912</v>
      </c>
      <c r="F226" s="474"/>
      <c r="G226" s="475"/>
      <c r="H226" s="474"/>
      <c r="I226" s="474"/>
      <c r="J226" s="474"/>
      <c r="K226" s="749"/>
      <c r="L226" s="699">
        <f>400000-50000-10000-10000</f>
        <v>330000</v>
      </c>
      <c r="M226" s="479">
        <f t="shared" si="34"/>
        <v>330000</v>
      </c>
    </row>
    <row r="227" spans="1:13" s="8" customFormat="1" ht="61.5" customHeight="1">
      <c r="A227" s="717"/>
      <c r="B227" s="750">
        <v>75704</v>
      </c>
      <c r="C227" s="1192"/>
      <c r="D227" s="751"/>
      <c r="E227" s="752" t="s">
        <v>913</v>
      </c>
      <c r="F227" s="740"/>
      <c r="G227" s="753"/>
      <c r="H227" s="740"/>
      <c r="I227" s="740"/>
      <c r="J227" s="740"/>
      <c r="K227" s="754"/>
      <c r="L227" s="755">
        <f>+L228</f>
        <v>20000</v>
      </c>
      <c r="M227" s="756">
        <f t="shared" si="34"/>
        <v>20000</v>
      </c>
    </row>
    <row r="228" spans="1:13" s="2" customFormat="1" ht="105.75" customHeight="1">
      <c r="A228" s="173"/>
      <c r="B228" s="746"/>
      <c r="C228" s="1193">
        <v>1</v>
      </c>
      <c r="D228" s="181"/>
      <c r="E228" s="698" t="s">
        <v>406</v>
      </c>
      <c r="F228" s="758"/>
      <c r="G228" s="361"/>
      <c r="H228" s="360"/>
      <c r="I228" s="360"/>
      <c r="J228" s="360"/>
      <c r="K228" s="186"/>
      <c r="L228" s="185">
        <f>50000-30000</f>
        <v>20000</v>
      </c>
      <c r="M228" s="187">
        <f t="shared" si="34"/>
        <v>20000</v>
      </c>
    </row>
    <row r="229" spans="1:13" s="75" customFormat="1" ht="42.75" customHeight="1">
      <c r="A229" s="759">
        <v>12</v>
      </c>
      <c r="B229" s="734" t="s">
        <v>915</v>
      </c>
      <c r="C229" s="1227"/>
      <c r="D229" s="1047"/>
      <c r="E229" s="1048" t="s">
        <v>916</v>
      </c>
      <c r="F229" s="761">
        <f>F230</f>
        <v>0</v>
      </c>
      <c r="G229" s="761">
        <f aca="true" t="shared" si="35" ref="G229:M229">G230</f>
        <v>0</v>
      </c>
      <c r="H229" s="761">
        <f t="shared" si="35"/>
        <v>0</v>
      </c>
      <c r="I229" s="761">
        <f t="shared" si="35"/>
        <v>0</v>
      </c>
      <c r="J229" s="761">
        <f t="shared" si="35"/>
        <v>0</v>
      </c>
      <c r="K229" s="761">
        <f t="shared" si="35"/>
        <v>0</v>
      </c>
      <c r="L229" s="761">
        <f t="shared" si="35"/>
        <v>354000</v>
      </c>
      <c r="M229" s="738">
        <f t="shared" si="35"/>
        <v>354000</v>
      </c>
    </row>
    <row r="230" spans="1:13" s="95" customFormat="1" ht="42.75" customHeight="1">
      <c r="A230" s="762"/>
      <c r="B230" s="739" t="s">
        <v>917</v>
      </c>
      <c r="C230" s="1195"/>
      <c r="D230" s="763"/>
      <c r="E230" s="741" t="s">
        <v>918</v>
      </c>
      <c r="F230" s="755">
        <f>F231+F232</f>
        <v>0</v>
      </c>
      <c r="G230" s="755">
        <f aca="true" t="shared" si="36" ref="G230:M230">G231+G232</f>
        <v>0</v>
      </c>
      <c r="H230" s="755">
        <f t="shared" si="36"/>
        <v>0</v>
      </c>
      <c r="I230" s="755">
        <f t="shared" si="36"/>
        <v>0</v>
      </c>
      <c r="J230" s="755">
        <f t="shared" si="36"/>
        <v>0</v>
      </c>
      <c r="K230" s="755">
        <f t="shared" si="36"/>
        <v>0</v>
      </c>
      <c r="L230" s="755">
        <f t="shared" si="36"/>
        <v>354000</v>
      </c>
      <c r="M230" s="756">
        <f t="shared" si="36"/>
        <v>354000</v>
      </c>
    </row>
    <row r="231" spans="1:13" s="102" customFormat="1" ht="35.25" customHeight="1">
      <c r="A231" s="762"/>
      <c r="B231" s="764"/>
      <c r="C231" s="1196" t="s">
        <v>682</v>
      </c>
      <c r="D231" s="765"/>
      <c r="E231" s="766" t="s">
        <v>919</v>
      </c>
      <c r="F231" s="767"/>
      <c r="G231" s="766"/>
      <c r="H231" s="767"/>
      <c r="I231" s="767"/>
      <c r="J231" s="767"/>
      <c r="K231" s="768"/>
      <c r="L231" s="769">
        <v>250000</v>
      </c>
      <c r="M231" s="770">
        <f>SUM(F231:L231)</f>
        <v>250000</v>
      </c>
    </row>
    <row r="232" spans="1:13" s="75" customFormat="1" ht="84" customHeight="1">
      <c r="A232" s="762"/>
      <c r="B232" s="764"/>
      <c r="C232" s="1196" t="s">
        <v>700</v>
      </c>
      <c r="D232" s="765"/>
      <c r="E232" s="766" t="s">
        <v>920</v>
      </c>
      <c r="F232" s="771"/>
      <c r="G232" s="766"/>
      <c r="H232" s="767"/>
      <c r="I232" s="767"/>
      <c r="J232" s="767"/>
      <c r="K232" s="772"/>
      <c r="L232" s="769">
        <v>104000</v>
      </c>
      <c r="M232" s="773">
        <f>L232</f>
        <v>104000</v>
      </c>
    </row>
    <row r="233" spans="1:13" s="46" customFormat="1" ht="48" customHeight="1">
      <c r="A233" s="151">
        <v>13</v>
      </c>
      <c r="B233" s="152">
        <v>801</v>
      </c>
      <c r="C233" s="1148"/>
      <c r="D233" s="154"/>
      <c r="E233" s="155" t="s">
        <v>643</v>
      </c>
      <c r="F233" s="156">
        <f aca="true" t="shared" si="37" ref="F233:M233">F234+F286+F295+F308+F327+F335+F340+F352+F359+F366+F369+F382</f>
        <v>0</v>
      </c>
      <c r="G233" s="156">
        <f t="shared" si="37"/>
        <v>0</v>
      </c>
      <c r="H233" s="156">
        <f t="shared" si="37"/>
        <v>0</v>
      </c>
      <c r="I233" s="156">
        <f t="shared" si="37"/>
        <v>24600</v>
      </c>
      <c r="J233" s="156">
        <f t="shared" si="37"/>
        <v>0</v>
      </c>
      <c r="K233" s="156">
        <f t="shared" si="37"/>
        <v>0</v>
      </c>
      <c r="L233" s="156">
        <f t="shared" si="37"/>
        <v>21943107</v>
      </c>
      <c r="M233" s="156">
        <f t="shared" si="37"/>
        <v>21967707</v>
      </c>
    </row>
    <row r="234" spans="1:13" s="46" customFormat="1" ht="44.25" customHeight="1">
      <c r="A234" s="158"/>
      <c r="B234" s="189">
        <v>80101</v>
      </c>
      <c r="C234" s="1149"/>
      <c r="D234" s="160"/>
      <c r="E234" s="161" t="s">
        <v>1015</v>
      </c>
      <c r="F234" s="163">
        <f aca="true" t="shared" si="38" ref="F234:M234">F235</f>
        <v>0</v>
      </c>
      <c r="G234" s="163">
        <f t="shared" si="38"/>
        <v>0</v>
      </c>
      <c r="H234" s="163">
        <f t="shared" si="38"/>
        <v>0</v>
      </c>
      <c r="I234" s="163">
        <f t="shared" si="38"/>
        <v>0</v>
      </c>
      <c r="J234" s="163">
        <f t="shared" si="38"/>
        <v>0</v>
      </c>
      <c r="K234" s="163">
        <f t="shared" si="38"/>
        <v>0</v>
      </c>
      <c r="L234" s="163">
        <f t="shared" si="38"/>
        <v>8367500</v>
      </c>
      <c r="M234" s="190">
        <f t="shared" si="38"/>
        <v>8367500</v>
      </c>
    </row>
    <row r="235" spans="1:13" s="71" customFormat="1" ht="30.75" customHeight="1">
      <c r="A235" s="774"/>
      <c r="B235" s="465"/>
      <c r="C235" s="1197" t="s">
        <v>602</v>
      </c>
      <c r="D235" s="775"/>
      <c r="E235" s="776" t="s">
        <v>1016</v>
      </c>
      <c r="F235" s="460">
        <f aca="true" t="shared" si="39" ref="F235:M235">F236+F255+F270+F277</f>
        <v>0</v>
      </c>
      <c r="G235" s="777">
        <f t="shared" si="39"/>
        <v>0</v>
      </c>
      <c r="H235" s="460">
        <f t="shared" si="39"/>
        <v>0</v>
      </c>
      <c r="I235" s="460">
        <f t="shared" si="39"/>
        <v>0</v>
      </c>
      <c r="J235" s="460">
        <f t="shared" si="39"/>
        <v>0</v>
      </c>
      <c r="K235" s="460">
        <f t="shared" si="39"/>
        <v>0</v>
      </c>
      <c r="L235" s="460">
        <f t="shared" si="39"/>
        <v>8367500</v>
      </c>
      <c r="M235" s="460">
        <f t="shared" si="39"/>
        <v>8367500</v>
      </c>
    </row>
    <row r="236" spans="1:13" s="4" customFormat="1" ht="32.25" customHeight="1">
      <c r="A236" s="778"/>
      <c r="B236" s="465"/>
      <c r="C236" s="1172" t="s">
        <v>682</v>
      </c>
      <c r="D236" s="458"/>
      <c r="E236" s="779" t="s">
        <v>1017</v>
      </c>
      <c r="F236" s="780"/>
      <c r="G236" s="781"/>
      <c r="H236" s="782"/>
      <c r="I236" s="782"/>
      <c r="J236" s="782"/>
      <c r="K236" s="311"/>
      <c r="L236" s="783">
        <f>2550000+2000+712200+80800+200000</f>
        <v>3545000</v>
      </c>
      <c r="M236" s="784">
        <f>L236</f>
        <v>3545000</v>
      </c>
    </row>
    <row r="237" spans="1:13" s="9" customFormat="1" ht="33.75" customHeight="1">
      <c r="A237" s="173"/>
      <c r="B237" s="465"/>
      <c r="C237" s="1198"/>
      <c r="D237" s="458"/>
      <c r="E237" s="785" t="s">
        <v>1018</v>
      </c>
      <c r="F237" s="786"/>
      <c r="G237" s="787"/>
      <c r="H237" s="788"/>
      <c r="I237" s="788"/>
      <c r="J237" s="788"/>
      <c r="K237" s="311"/>
      <c r="L237" s="185"/>
      <c r="M237" s="187"/>
    </row>
    <row r="238" spans="1:13" s="1542" customFormat="1" ht="36.75" customHeight="1">
      <c r="A238" s="173"/>
      <c r="B238" s="465"/>
      <c r="C238" s="458"/>
      <c r="D238" s="458"/>
      <c r="E238" s="1541" t="s">
        <v>407</v>
      </c>
      <c r="F238" s="786"/>
      <c r="G238" s="787"/>
      <c r="H238" s="788"/>
      <c r="I238" s="788"/>
      <c r="J238" s="788"/>
      <c r="K238" s="311"/>
      <c r="L238" s="185"/>
      <c r="M238" s="187"/>
    </row>
    <row r="239" spans="1:13" s="1542" customFormat="1" ht="66.75" customHeight="1">
      <c r="A239" s="173"/>
      <c r="B239" s="465"/>
      <c r="C239" s="458"/>
      <c r="D239" s="458"/>
      <c r="E239" s="1541" t="s">
        <v>408</v>
      </c>
      <c r="F239" s="786"/>
      <c r="G239" s="787"/>
      <c r="H239" s="788"/>
      <c r="I239" s="788"/>
      <c r="J239" s="788"/>
      <c r="K239" s="311"/>
      <c r="L239" s="185"/>
      <c r="M239" s="187"/>
    </row>
    <row r="240" spans="1:13" s="1542" customFormat="1" ht="36.75" customHeight="1">
      <c r="A240" s="173"/>
      <c r="B240" s="465"/>
      <c r="C240" s="458"/>
      <c r="D240" s="458"/>
      <c r="E240" s="1541" t="s">
        <v>409</v>
      </c>
      <c r="F240" s="786"/>
      <c r="G240" s="787"/>
      <c r="H240" s="788"/>
      <c r="I240" s="788"/>
      <c r="J240" s="788"/>
      <c r="K240" s="311"/>
      <c r="L240" s="185"/>
      <c r="M240" s="187"/>
    </row>
    <row r="241" spans="1:13" s="1542" customFormat="1" ht="56.25" customHeight="1">
      <c r="A241" s="173"/>
      <c r="B241" s="465"/>
      <c r="C241" s="458"/>
      <c r="D241" s="458"/>
      <c r="E241" s="1541" t="s">
        <v>410</v>
      </c>
      <c r="F241" s="786"/>
      <c r="G241" s="787"/>
      <c r="H241" s="788"/>
      <c r="I241" s="788"/>
      <c r="J241" s="788"/>
      <c r="K241" s="311"/>
      <c r="L241" s="185"/>
      <c r="M241" s="187"/>
    </row>
    <row r="242" spans="1:13" s="1542" customFormat="1" ht="36.75" customHeight="1">
      <c r="A242" s="173"/>
      <c r="B242" s="465"/>
      <c r="C242" s="458"/>
      <c r="D242" s="458"/>
      <c r="E242" s="1945" t="s">
        <v>1194</v>
      </c>
      <c r="F242" s="786"/>
      <c r="G242" s="787"/>
      <c r="H242" s="788"/>
      <c r="I242" s="788"/>
      <c r="J242" s="788"/>
      <c r="K242" s="311"/>
      <c r="L242" s="185"/>
      <c r="M242" s="187"/>
    </row>
    <row r="243" spans="1:13" s="1542" customFormat="1" ht="36.75" customHeight="1">
      <c r="A243" s="173"/>
      <c r="B243" s="465"/>
      <c r="C243" s="458"/>
      <c r="D243" s="458"/>
      <c r="E243" s="1944" t="s">
        <v>873</v>
      </c>
      <c r="F243" s="786"/>
      <c r="G243" s="787"/>
      <c r="H243" s="788"/>
      <c r="I243" s="788"/>
      <c r="J243" s="788"/>
      <c r="K243" s="311"/>
      <c r="L243" s="185"/>
      <c r="M243" s="187"/>
    </row>
    <row r="244" spans="1:13" s="1542" customFormat="1" ht="36.75" customHeight="1">
      <c r="A244" s="173"/>
      <c r="B244" s="465"/>
      <c r="C244" s="458"/>
      <c r="D244" s="458"/>
      <c r="E244" s="785" t="s">
        <v>870</v>
      </c>
      <c r="F244" s="786"/>
      <c r="G244" s="787"/>
      <c r="H244" s="788"/>
      <c r="I244" s="788"/>
      <c r="J244" s="788"/>
      <c r="K244" s="311"/>
      <c r="L244" s="185"/>
      <c r="M244" s="187"/>
    </row>
    <row r="245" spans="1:13" s="1542" customFormat="1" ht="36.75" customHeight="1">
      <c r="A245" s="173"/>
      <c r="B245" s="465"/>
      <c r="C245" s="458"/>
      <c r="D245" s="458"/>
      <c r="E245" s="785" t="s">
        <v>871</v>
      </c>
      <c r="F245" s="786"/>
      <c r="G245" s="787"/>
      <c r="H245" s="788"/>
      <c r="I245" s="788"/>
      <c r="J245" s="788"/>
      <c r="K245" s="311"/>
      <c r="L245" s="185"/>
      <c r="M245" s="187"/>
    </row>
    <row r="246" spans="1:13" s="1542" customFormat="1" ht="86.25" customHeight="1">
      <c r="A246" s="173"/>
      <c r="B246" s="465"/>
      <c r="C246" s="458"/>
      <c r="D246" s="458"/>
      <c r="E246" s="785" t="s">
        <v>872</v>
      </c>
      <c r="F246" s="786"/>
      <c r="G246" s="787"/>
      <c r="H246" s="788"/>
      <c r="I246" s="788"/>
      <c r="J246" s="788"/>
      <c r="K246" s="311"/>
      <c r="L246" s="185"/>
      <c r="M246" s="187"/>
    </row>
    <row r="247" spans="1:13" s="1542" customFormat="1" ht="54.75" customHeight="1">
      <c r="A247" s="173"/>
      <c r="B247" s="465"/>
      <c r="C247" s="458"/>
      <c r="D247" s="458"/>
      <c r="E247" s="785" t="s">
        <v>874</v>
      </c>
      <c r="F247" s="786"/>
      <c r="G247" s="787"/>
      <c r="H247" s="788"/>
      <c r="I247" s="788"/>
      <c r="J247" s="788"/>
      <c r="K247" s="311"/>
      <c r="L247" s="185"/>
      <c r="M247" s="187"/>
    </row>
    <row r="248" spans="1:13" s="1542" customFormat="1" ht="57" customHeight="1">
      <c r="A248" s="173"/>
      <c r="B248" s="465"/>
      <c r="C248" s="458"/>
      <c r="D248" s="458"/>
      <c r="E248" s="785" t="s">
        <v>875</v>
      </c>
      <c r="F248" s="786"/>
      <c r="G248" s="787"/>
      <c r="H248" s="788"/>
      <c r="I248" s="788"/>
      <c r="J248" s="788"/>
      <c r="K248" s="311"/>
      <c r="L248" s="185"/>
      <c r="M248" s="187"/>
    </row>
    <row r="249" spans="1:13" s="1542" customFormat="1" ht="57.75" customHeight="1">
      <c r="A249" s="173"/>
      <c r="B249" s="465"/>
      <c r="C249" s="458"/>
      <c r="D249" s="458"/>
      <c r="E249" s="785" t="s">
        <v>876</v>
      </c>
      <c r="F249" s="786"/>
      <c r="G249" s="787"/>
      <c r="H249" s="788"/>
      <c r="I249" s="788"/>
      <c r="J249" s="788"/>
      <c r="K249" s="311"/>
      <c r="L249" s="185"/>
      <c r="M249" s="187"/>
    </row>
    <row r="250" spans="1:13" s="1542" customFormat="1" ht="53.25" customHeight="1">
      <c r="A250" s="173"/>
      <c r="B250" s="465"/>
      <c r="C250" s="458"/>
      <c r="D250" s="458"/>
      <c r="E250" s="785" t="s">
        <v>877</v>
      </c>
      <c r="F250" s="786"/>
      <c r="G250" s="787"/>
      <c r="H250" s="788"/>
      <c r="I250" s="788"/>
      <c r="J250" s="788"/>
      <c r="K250" s="311"/>
      <c r="L250" s="185"/>
      <c r="M250" s="187"/>
    </row>
    <row r="251" spans="1:13" s="1542" customFormat="1" ht="53.25" customHeight="1">
      <c r="A251" s="173"/>
      <c r="B251" s="465"/>
      <c r="C251" s="458"/>
      <c r="D251" s="458"/>
      <c r="E251" s="785" t="s">
        <v>878</v>
      </c>
      <c r="F251" s="786"/>
      <c r="G251" s="787"/>
      <c r="H251" s="788"/>
      <c r="I251" s="788"/>
      <c r="J251" s="788"/>
      <c r="K251" s="311"/>
      <c r="L251" s="185"/>
      <c r="M251" s="187"/>
    </row>
    <row r="252" spans="1:13" s="1542" customFormat="1" ht="53.25" customHeight="1">
      <c r="A252" s="173"/>
      <c r="B252" s="465"/>
      <c r="C252" s="458"/>
      <c r="D252" s="458"/>
      <c r="E252" s="785" t="s">
        <v>879</v>
      </c>
      <c r="F252" s="786"/>
      <c r="G252" s="787"/>
      <c r="H252" s="788"/>
      <c r="I252" s="788"/>
      <c r="J252" s="788"/>
      <c r="K252" s="311"/>
      <c r="L252" s="185"/>
      <c r="M252" s="187"/>
    </row>
    <row r="253" spans="1:13" s="1542" customFormat="1" ht="53.25" customHeight="1">
      <c r="A253" s="173"/>
      <c r="B253" s="465"/>
      <c r="C253" s="458"/>
      <c r="D253" s="458"/>
      <c r="E253" s="785" t="s">
        <v>880</v>
      </c>
      <c r="F253" s="786"/>
      <c r="G253" s="787"/>
      <c r="H253" s="788"/>
      <c r="I253" s="788"/>
      <c r="J253" s="788"/>
      <c r="K253" s="311"/>
      <c r="L253" s="185"/>
      <c r="M253" s="187"/>
    </row>
    <row r="254" spans="1:13" s="1542" customFormat="1" ht="81" customHeight="1">
      <c r="A254" s="173"/>
      <c r="B254" s="465"/>
      <c r="C254" s="458"/>
      <c r="D254" s="458"/>
      <c r="E254" s="785" t="s">
        <v>881</v>
      </c>
      <c r="F254" s="786"/>
      <c r="G254" s="787"/>
      <c r="H254" s="788"/>
      <c r="I254" s="788"/>
      <c r="J254" s="788"/>
      <c r="K254" s="311"/>
      <c r="L254" s="185"/>
      <c r="M254" s="187"/>
    </row>
    <row r="255" spans="1:13" s="10" customFormat="1" ht="31.5" customHeight="1">
      <c r="A255" s="778"/>
      <c r="B255" s="465"/>
      <c r="C255" s="1199" t="s">
        <v>700</v>
      </c>
      <c r="D255" s="810"/>
      <c r="E255" s="811" t="s">
        <v>743</v>
      </c>
      <c r="F255" s="812"/>
      <c r="G255" s="813"/>
      <c r="H255" s="814"/>
      <c r="I255" s="814"/>
      <c r="J255" s="814"/>
      <c r="K255" s="815"/>
      <c r="L255" s="816">
        <f>3086000+2000+516740+32760+120000+500+1500+1500+2000</f>
        <v>3763000</v>
      </c>
      <c r="M255" s="817">
        <f>L255</f>
        <v>3763000</v>
      </c>
    </row>
    <row r="256" spans="1:13" s="4" customFormat="1" ht="23.25" customHeight="1">
      <c r="A256" s="778"/>
      <c r="B256" s="465"/>
      <c r="C256" s="1198"/>
      <c r="D256" s="458"/>
      <c r="E256" s="785" t="s">
        <v>1018</v>
      </c>
      <c r="F256" s="786"/>
      <c r="G256" s="787"/>
      <c r="H256" s="788"/>
      <c r="I256" s="788"/>
      <c r="J256" s="788"/>
      <c r="K256" s="311"/>
      <c r="L256" s="783"/>
      <c r="M256" s="818"/>
    </row>
    <row r="257" spans="1:13" s="1542" customFormat="1" ht="36.75" customHeight="1">
      <c r="A257" s="173"/>
      <c r="B257" s="465"/>
      <c r="C257" s="458"/>
      <c r="D257" s="458"/>
      <c r="E257" s="1541" t="s">
        <v>1195</v>
      </c>
      <c r="F257" s="786"/>
      <c r="G257" s="787"/>
      <c r="H257" s="788"/>
      <c r="I257" s="788"/>
      <c r="J257" s="788"/>
      <c r="K257" s="311"/>
      <c r="L257" s="185"/>
      <c r="M257" s="187"/>
    </row>
    <row r="258" spans="1:13" s="1542" customFormat="1" ht="66.75" customHeight="1">
      <c r="A258" s="173"/>
      <c r="B258" s="465"/>
      <c r="C258" s="458"/>
      <c r="D258" s="458"/>
      <c r="E258" s="1541" t="s">
        <v>408</v>
      </c>
      <c r="F258" s="786"/>
      <c r="G258" s="787"/>
      <c r="H258" s="788"/>
      <c r="I258" s="788"/>
      <c r="J258" s="788"/>
      <c r="K258" s="311"/>
      <c r="L258" s="185"/>
      <c r="M258" s="187"/>
    </row>
    <row r="259" spans="1:13" s="1542" customFormat="1" ht="36.75" customHeight="1">
      <c r="A259" s="173"/>
      <c r="B259" s="465"/>
      <c r="C259" s="458"/>
      <c r="D259" s="458"/>
      <c r="E259" s="1541" t="s">
        <v>1201</v>
      </c>
      <c r="F259" s="786"/>
      <c r="G259" s="787"/>
      <c r="H259" s="788"/>
      <c r="I259" s="788"/>
      <c r="J259" s="788"/>
      <c r="K259" s="311"/>
      <c r="L259" s="185"/>
      <c r="M259" s="187"/>
    </row>
    <row r="260" spans="1:13" s="1542" customFormat="1" ht="56.25" customHeight="1">
      <c r="A260" s="173"/>
      <c r="B260" s="465"/>
      <c r="C260" s="458"/>
      <c r="D260" s="458"/>
      <c r="E260" s="1541" t="s">
        <v>1196</v>
      </c>
      <c r="F260" s="786"/>
      <c r="G260" s="787"/>
      <c r="H260" s="788"/>
      <c r="I260" s="788"/>
      <c r="J260" s="788"/>
      <c r="K260" s="311"/>
      <c r="L260" s="185"/>
      <c r="M260" s="187"/>
    </row>
    <row r="261" spans="1:13" s="1542" customFormat="1" ht="46.5">
      <c r="A261" s="173"/>
      <c r="B261" s="465"/>
      <c r="C261" s="458"/>
      <c r="D261" s="458"/>
      <c r="E261" s="1541" t="s">
        <v>883</v>
      </c>
      <c r="F261" s="786"/>
      <c r="G261" s="787"/>
      <c r="H261" s="788"/>
      <c r="I261" s="788"/>
      <c r="J261" s="788"/>
      <c r="K261" s="311"/>
      <c r="L261" s="185"/>
      <c r="M261" s="187"/>
    </row>
    <row r="262" spans="1:13" s="1542" customFormat="1" ht="43.5" customHeight="1">
      <c r="A262" s="173"/>
      <c r="B262" s="465"/>
      <c r="C262" s="458"/>
      <c r="D262" s="458"/>
      <c r="E262" s="1944" t="s">
        <v>873</v>
      </c>
      <c r="F262" s="786"/>
      <c r="G262" s="787"/>
      <c r="H262" s="788"/>
      <c r="I262" s="788"/>
      <c r="J262" s="788"/>
      <c r="K262" s="311"/>
      <c r="L262" s="185"/>
      <c r="M262" s="187"/>
    </row>
    <row r="263" spans="1:13" s="1542" customFormat="1" ht="30" customHeight="1">
      <c r="A263" s="173"/>
      <c r="B263" s="465"/>
      <c r="C263" s="458"/>
      <c r="D263" s="458"/>
      <c r="E263" s="785" t="s">
        <v>882</v>
      </c>
      <c r="F263" s="786"/>
      <c r="G263" s="787"/>
      <c r="H263" s="788"/>
      <c r="I263" s="788"/>
      <c r="J263" s="788"/>
      <c r="K263" s="311"/>
      <c r="L263" s="185"/>
      <c r="M263" s="187"/>
    </row>
    <row r="264" spans="1:13" s="1542" customFormat="1" ht="30" customHeight="1">
      <c r="A264" s="173"/>
      <c r="B264" s="465"/>
      <c r="C264" s="458"/>
      <c r="D264" s="458"/>
      <c r="E264" s="785" t="s">
        <v>885</v>
      </c>
      <c r="F264" s="786"/>
      <c r="G264" s="787"/>
      <c r="H264" s="788"/>
      <c r="I264" s="788"/>
      <c r="J264" s="788"/>
      <c r="K264" s="311"/>
      <c r="L264" s="185"/>
      <c r="M264" s="187"/>
    </row>
    <row r="265" spans="1:13" s="1542" customFormat="1" ht="30" customHeight="1">
      <c r="A265" s="173"/>
      <c r="B265" s="465"/>
      <c r="C265" s="458"/>
      <c r="D265" s="458"/>
      <c r="E265" s="785" t="s">
        <v>884</v>
      </c>
      <c r="F265" s="786"/>
      <c r="G265" s="787"/>
      <c r="H265" s="788"/>
      <c r="I265" s="788"/>
      <c r="J265" s="788"/>
      <c r="K265" s="311"/>
      <c r="L265" s="185"/>
      <c r="M265" s="187"/>
    </row>
    <row r="266" spans="1:13" s="1542" customFormat="1" ht="36.75" customHeight="1">
      <c r="A266" s="173"/>
      <c r="B266" s="465"/>
      <c r="C266" s="458"/>
      <c r="D266" s="458"/>
      <c r="E266" s="1541" t="s">
        <v>1197</v>
      </c>
      <c r="F266" s="786"/>
      <c r="G266" s="787"/>
      <c r="H266" s="788"/>
      <c r="I266" s="788"/>
      <c r="J266" s="788"/>
      <c r="K266" s="311"/>
      <c r="L266" s="185"/>
      <c r="M266" s="187"/>
    </row>
    <row r="267" spans="1:13" s="1542" customFormat="1" ht="36.75" customHeight="1">
      <c r="A267" s="173"/>
      <c r="B267" s="465"/>
      <c r="C267" s="458"/>
      <c r="D267" s="458"/>
      <c r="E267" s="1541" t="s">
        <v>1199</v>
      </c>
      <c r="F267" s="786"/>
      <c r="G267" s="787"/>
      <c r="H267" s="788"/>
      <c r="I267" s="788"/>
      <c r="J267" s="788"/>
      <c r="K267" s="311"/>
      <c r="L267" s="185"/>
      <c r="M267" s="187"/>
    </row>
    <row r="268" spans="1:13" s="1542" customFormat="1" ht="36.75" customHeight="1">
      <c r="A268" s="173"/>
      <c r="B268" s="465"/>
      <c r="C268" s="458"/>
      <c r="D268" s="458"/>
      <c r="E268" s="1541" t="s">
        <v>1198</v>
      </c>
      <c r="F268" s="786"/>
      <c r="G268" s="787"/>
      <c r="H268" s="788"/>
      <c r="I268" s="788"/>
      <c r="J268" s="788"/>
      <c r="K268" s="311"/>
      <c r="L268" s="185"/>
      <c r="M268" s="187"/>
    </row>
    <row r="269" spans="1:13" s="1542" customFormat="1" ht="36.75" customHeight="1">
      <c r="A269" s="173"/>
      <c r="B269" s="465"/>
      <c r="C269" s="458"/>
      <c r="D269" s="458"/>
      <c r="E269" s="1541" t="s">
        <v>1200</v>
      </c>
      <c r="F269" s="786"/>
      <c r="G269" s="787"/>
      <c r="H269" s="788"/>
      <c r="I269" s="788"/>
      <c r="J269" s="788"/>
      <c r="K269" s="311"/>
      <c r="L269" s="185"/>
      <c r="M269" s="187"/>
    </row>
    <row r="270" spans="1:13" s="10" customFormat="1" ht="31.5" customHeight="1">
      <c r="A270" s="778"/>
      <c r="B270" s="465"/>
      <c r="C270" s="1199" t="s">
        <v>701</v>
      </c>
      <c r="D270" s="810"/>
      <c r="E270" s="811" t="s">
        <v>32</v>
      </c>
      <c r="F270" s="812"/>
      <c r="G270" s="813"/>
      <c r="H270" s="814"/>
      <c r="I270" s="814"/>
      <c r="J270" s="814"/>
      <c r="K270" s="815"/>
      <c r="L270" s="816">
        <f>389000+500+94000+45000</f>
        <v>528500</v>
      </c>
      <c r="M270" s="817">
        <f>L270</f>
        <v>528500</v>
      </c>
    </row>
    <row r="271" spans="1:13" s="4" customFormat="1" ht="30" customHeight="1">
      <c r="A271" s="778"/>
      <c r="B271" s="465"/>
      <c r="C271" s="1198"/>
      <c r="D271" s="458"/>
      <c r="E271" s="785" t="s">
        <v>1018</v>
      </c>
      <c r="F271" s="786"/>
      <c r="G271" s="787"/>
      <c r="H271" s="788"/>
      <c r="I271" s="788"/>
      <c r="J271" s="788"/>
      <c r="K271" s="311"/>
      <c r="L271" s="783"/>
      <c r="M271" s="818"/>
    </row>
    <row r="272" spans="1:13" s="1542" customFormat="1" ht="36.75" customHeight="1">
      <c r="A272" s="173"/>
      <c r="B272" s="465"/>
      <c r="C272" s="458"/>
      <c r="D272" s="458"/>
      <c r="E272" s="1541" t="s">
        <v>1202</v>
      </c>
      <c r="F272" s="786"/>
      <c r="G272" s="787"/>
      <c r="H272" s="788"/>
      <c r="I272" s="788"/>
      <c r="J272" s="788"/>
      <c r="K272" s="311"/>
      <c r="L272" s="185"/>
      <c r="M272" s="187"/>
    </row>
    <row r="273" spans="1:13" s="1542" customFormat="1" ht="66.75" customHeight="1">
      <c r="A273" s="173"/>
      <c r="B273" s="465"/>
      <c r="C273" s="458"/>
      <c r="D273" s="458"/>
      <c r="E273" s="1541" t="s">
        <v>1203</v>
      </c>
      <c r="F273" s="786"/>
      <c r="G273" s="787"/>
      <c r="H273" s="788"/>
      <c r="I273" s="788"/>
      <c r="J273" s="788"/>
      <c r="K273" s="311"/>
      <c r="L273" s="185"/>
      <c r="M273" s="187"/>
    </row>
    <row r="274" spans="1:13" s="1542" customFormat="1" ht="36.75" customHeight="1">
      <c r="A274" s="173"/>
      <c r="B274" s="465"/>
      <c r="C274" s="458"/>
      <c r="D274" s="458"/>
      <c r="E274" s="1541" t="s">
        <v>1204</v>
      </c>
      <c r="F274" s="786"/>
      <c r="G274" s="787"/>
      <c r="H274" s="788"/>
      <c r="I274" s="788"/>
      <c r="J274" s="788"/>
      <c r="K274" s="311"/>
      <c r="L274" s="185"/>
      <c r="M274" s="187"/>
    </row>
    <row r="275" spans="1:13" s="1542" customFormat="1" ht="78" customHeight="1">
      <c r="A275" s="173"/>
      <c r="B275" s="465"/>
      <c r="C275" s="458"/>
      <c r="D275" s="458"/>
      <c r="E275" s="1541" t="s">
        <v>143</v>
      </c>
      <c r="F275" s="786"/>
      <c r="G275" s="787"/>
      <c r="H275" s="788"/>
      <c r="I275" s="788"/>
      <c r="J275" s="788"/>
      <c r="K275" s="311"/>
      <c r="L275" s="185"/>
      <c r="M275" s="187"/>
    </row>
    <row r="276" spans="1:13" s="1542" customFormat="1" ht="63" customHeight="1">
      <c r="A276" s="173"/>
      <c r="B276" s="465"/>
      <c r="C276" s="458"/>
      <c r="D276" s="458"/>
      <c r="E276" s="1541" t="s">
        <v>144</v>
      </c>
      <c r="F276" s="786"/>
      <c r="G276" s="787"/>
      <c r="H276" s="788"/>
      <c r="I276" s="788"/>
      <c r="J276" s="788"/>
      <c r="K276" s="311"/>
      <c r="L276" s="185"/>
      <c r="M276" s="187"/>
    </row>
    <row r="277" spans="1:13" s="10" customFormat="1" ht="31.5" customHeight="1">
      <c r="A277" s="778"/>
      <c r="B277" s="465"/>
      <c r="C277" s="1199" t="s">
        <v>702</v>
      </c>
      <c r="D277" s="810"/>
      <c r="E277" s="811" t="s">
        <v>33</v>
      </c>
      <c r="F277" s="812"/>
      <c r="G277" s="813"/>
      <c r="H277" s="814"/>
      <c r="I277" s="814"/>
      <c r="J277" s="814"/>
      <c r="K277" s="815"/>
      <c r="L277" s="816">
        <f>378000+500+102695+4805+39000+6000</f>
        <v>531000</v>
      </c>
      <c r="M277" s="817">
        <f>L277</f>
        <v>531000</v>
      </c>
    </row>
    <row r="278" spans="1:13" s="4" customFormat="1" ht="30" customHeight="1">
      <c r="A278" s="778"/>
      <c r="B278" s="465"/>
      <c r="C278" s="1198"/>
      <c r="D278" s="458"/>
      <c r="E278" s="785" t="s">
        <v>1018</v>
      </c>
      <c r="F278" s="786"/>
      <c r="G278" s="787"/>
      <c r="H278" s="788"/>
      <c r="I278" s="788"/>
      <c r="J278" s="788"/>
      <c r="K278" s="311"/>
      <c r="L278" s="783"/>
      <c r="M278" s="818"/>
    </row>
    <row r="279" spans="1:13" s="1542" customFormat="1" ht="36.75" customHeight="1">
      <c r="A279" s="173"/>
      <c r="B279" s="465"/>
      <c r="C279" s="458"/>
      <c r="D279" s="458"/>
      <c r="E279" s="1541" t="s">
        <v>1205</v>
      </c>
      <c r="F279" s="786"/>
      <c r="G279" s="787"/>
      <c r="H279" s="788"/>
      <c r="I279" s="788"/>
      <c r="J279" s="788"/>
      <c r="K279" s="311"/>
      <c r="L279" s="185"/>
      <c r="M279" s="187"/>
    </row>
    <row r="280" spans="1:13" s="1542" customFormat="1" ht="66.75" customHeight="1">
      <c r="A280" s="173"/>
      <c r="B280" s="465"/>
      <c r="C280" s="458"/>
      <c r="D280" s="458"/>
      <c r="E280" s="1541" t="s">
        <v>1203</v>
      </c>
      <c r="F280" s="786"/>
      <c r="G280" s="787"/>
      <c r="H280" s="788"/>
      <c r="I280" s="788"/>
      <c r="J280" s="788"/>
      <c r="K280" s="311"/>
      <c r="L280" s="185"/>
      <c r="M280" s="187"/>
    </row>
    <row r="281" spans="1:13" s="1542" customFormat="1" ht="36.75" customHeight="1">
      <c r="A281" s="173"/>
      <c r="B281" s="465"/>
      <c r="C281" s="458"/>
      <c r="D281" s="458"/>
      <c r="E281" s="1541" t="s">
        <v>1207</v>
      </c>
      <c r="F281" s="786"/>
      <c r="G281" s="787"/>
      <c r="H281" s="788"/>
      <c r="I281" s="788"/>
      <c r="J281" s="788"/>
      <c r="K281" s="311"/>
      <c r="L281" s="185"/>
      <c r="M281" s="187"/>
    </row>
    <row r="282" spans="1:13" s="1542" customFormat="1" ht="66.75" customHeight="1">
      <c r="A282" s="173"/>
      <c r="B282" s="465"/>
      <c r="C282" s="458"/>
      <c r="D282" s="458"/>
      <c r="E282" s="1541" t="s">
        <v>1206</v>
      </c>
      <c r="F282" s="786"/>
      <c r="G282" s="787"/>
      <c r="H282" s="788"/>
      <c r="I282" s="788"/>
      <c r="J282" s="788"/>
      <c r="K282" s="311"/>
      <c r="L282" s="185"/>
      <c r="M282" s="187"/>
    </row>
    <row r="283" spans="1:13" s="1542" customFormat="1" ht="57.75" customHeight="1">
      <c r="A283" s="173"/>
      <c r="B283" s="465"/>
      <c r="C283" s="458"/>
      <c r="D283" s="458"/>
      <c r="E283" s="1541" t="s">
        <v>145</v>
      </c>
      <c r="F283" s="786"/>
      <c r="G283" s="787"/>
      <c r="H283" s="788"/>
      <c r="I283" s="788"/>
      <c r="J283" s="788"/>
      <c r="K283" s="311"/>
      <c r="L283" s="185"/>
      <c r="M283" s="187"/>
    </row>
    <row r="284" spans="1:13" s="1542" customFormat="1" ht="36.75" customHeight="1">
      <c r="A284" s="173"/>
      <c r="B284" s="465"/>
      <c r="C284" s="458"/>
      <c r="D284" s="458"/>
      <c r="E284" s="1541" t="s">
        <v>146</v>
      </c>
      <c r="F284" s="786"/>
      <c r="G284" s="787"/>
      <c r="H284" s="788"/>
      <c r="I284" s="788"/>
      <c r="J284" s="788"/>
      <c r="K284" s="311"/>
      <c r="L284" s="185"/>
      <c r="M284" s="187"/>
    </row>
    <row r="285" spans="1:13" s="1542" customFormat="1" ht="36.75" customHeight="1">
      <c r="A285" s="173"/>
      <c r="B285" s="465"/>
      <c r="C285" s="458"/>
      <c r="D285" s="458"/>
      <c r="E285" s="1541" t="s">
        <v>202</v>
      </c>
      <c r="F285" s="786"/>
      <c r="G285" s="787"/>
      <c r="H285" s="788"/>
      <c r="I285" s="788"/>
      <c r="J285" s="788"/>
      <c r="K285" s="311"/>
      <c r="L285" s="185"/>
      <c r="M285" s="187"/>
    </row>
    <row r="286" spans="1:13" s="46" customFormat="1" ht="43.5" customHeight="1">
      <c r="A286" s="158"/>
      <c r="B286" s="174">
        <v>80103</v>
      </c>
      <c r="C286" s="1151"/>
      <c r="D286" s="175"/>
      <c r="E286" s="176" t="s">
        <v>847</v>
      </c>
      <c r="F286" s="837">
        <f aca="true" t="shared" si="40" ref="F286:M286">F287+F291</f>
        <v>0</v>
      </c>
      <c r="G286" s="838">
        <f t="shared" si="40"/>
        <v>0</v>
      </c>
      <c r="H286" s="838">
        <f t="shared" si="40"/>
        <v>0</v>
      </c>
      <c r="I286" s="838">
        <f t="shared" si="40"/>
        <v>0</v>
      </c>
      <c r="J286" s="838">
        <f t="shared" si="40"/>
        <v>0</v>
      </c>
      <c r="K286" s="838">
        <f t="shared" si="40"/>
        <v>0</v>
      </c>
      <c r="L286" s="838">
        <f t="shared" si="40"/>
        <v>99000</v>
      </c>
      <c r="M286" s="839">
        <f t="shared" si="40"/>
        <v>99000</v>
      </c>
    </row>
    <row r="287" spans="1:13" s="10" customFormat="1" ht="38.25" customHeight="1">
      <c r="A287" s="778"/>
      <c r="B287" s="465"/>
      <c r="C287" s="1199" t="s">
        <v>682</v>
      </c>
      <c r="D287" s="810"/>
      <c r="E287" s="811" t="s">
        <v>32</v>
      </c>
      <c r="F287" s="812"/>
      <c r="G287" s="813"/>
      <c r="H287" s="814"/>
      <c r="I287" s="814"/>
      <c r="J287" s="814"/>
      <c r="K287" s="815"/>
      <c r="L287" s="816">
        <f>37000+13000</f>
        <v>50000</v>
      </c>
      <c r="M287" s="817">
        <f>L287</f>
        <v>50000</v>
      </c>
    </row>
    <row r="288" spans="1:13" s="10" customFormat="1" ht="38.25" customHeight="1">
      <c r="A288" s="778"/>
      <c r="B288" s="465"/>
      <c r="C288" s="1172"/>
      <c r="D288" s="458"/>
      <c r="E288" s="785" t="s">
        <v>1018</v>
      </c>
      <c r="F288" s="780"/>
      <c r="G288" s="781"/>
      <c r="H288" s="782"/>
      <c r="I288" s="782"/>
      <c r="J288" s="782"/>
      <c r="K288" s="311"/>
      <c r="L288" s="783"/>
      <c r="M288" s="784"/>
    </row>
    <row r="289" spans="1:13" s="10" customFormat="1" ht="38.25" customHeight="1">
      <c r="A289" s="778"/>
      <c r="B289" s="465"/>
      <c r="C289" s="1172"/>
      <c r="D289" s="458"/>
      <c r="E289" s="1541" t="s">
        <v>609</v>
      </c>
      <c r="F289" s="780"/>
      <c r="G289" s="781"/>
      <c r="H289" s="782"/>
      <c r="I289" s="782"/>
      <c r="J289" s="782"/>
      <c r="K289" s="311"/>
      <c r="L289" s="783"/>
      <c r="M289" s="784"/>
    </row>
    <row r="290" spans="1:13" s="10" customFormat="1" ht="38.25" customHeight="1">
      <c r="A290" s="778"/>
      <c r="B290" s="465"/>
      <c r="C290" s="1172"/>
      <c r="D290" s="458"/>
      <c r="E290" s="1541" t="s">
        <v>610</v>
      </c>
      <c r="F290" s="780"/>
      <c r="G290" s="781"/>
      <c r="H290" s="782"/>
      <c r="I290" s="782"/>
      <c r="J290" s="782"/>
      <c r="K290" s="311"/>
      <c r="L290" s="783"/>
      <c r="M290" s="784"/>
    </row>
    <row r="291" spans="1:13" s="10" customFormat="1" ht="31.5" customHeight="1">
      <c r="A291" s="778"/>
      <c r="B291" s="465"/>
      <c r="C291" s="1199" t="s">
        <v>700</v>
      </c>
      <c r="D291" s="810"/>
      <c r="E291" s="811" t="s">
        <v>33</v>
      </c>
      <c r="F291" s="812"/>
      <c r="G291" s="813"/>
      <c r="H291" s="814"/>
      <c r="I291" s="814"/>
      <c r="J291" s="814"/>
      <c r="K291" s="815"/>
      <c r="L291" s="816">
        <f>35000+14000</f>
        <v>49000</v>
      </c>
      <c r="M291" s="817">
        <f>L291</f>
        <v>49000</v>
      </c>
    </row>
    <row r="292" spans="1:13" s="10" customFormat="1" ht="38.25" customHeight="1">
      <c r="A292" s="778"/>
      <c r="B292" s="465"/>
      <c r="C292" s="1172"/>
      <c r="D292" s="458"/>
      <c r="E292" s="785" t="s">
        <v>1018</v>
      </c>
      <c r="F292" s="780"/>
      <c r="G292" s="781"/>
      <c r="H292" s="782"/>
      <c r="I292" s="782"/>
      <c r="J292" s="782"/>
      <c r="K292" s="311"/>
      <c r="L292" s="783"/>
      <c r="M292" s="784"/>
    </row>
    <row r="293" spans="1:13" s="10" customFormat="1" ht="38.25" customHeight="1">
      <c r="A293" s="778"/>
      <c r="B293" s="465"/>
      <c r="C293" s="1172"/>
      <c r="D293" s="458"/>
      <c r="E293" s="1541" t="s">
        <v>611</v>
      </c>
      <c r="F293" s="780"/>
      <c r="G293" s="781"/>
      <c r="H293" s="782"/>
      <c r="I293" s="782"/>
      <c r="J293" s="782"/>
      <c r="K293" s="311"/>
      <c r="L293" s="783"/>
      <c r="M293" s="784"/>
    </row>
    <row r="294" spans="1:13" s="10" customFormat="1" ht="38.25" customHeight="1">
      <c r="A294" s="778"/>
      <c r="B294" s="465"/>
      <c r="C294" s="1172"/>
      <c r="D294" s="458"/>
      <c r="E294" s="1541" t="s">
        <v>612</v>
      </c>
      <c r="F294" s="780"/>
      <c r="G294" s="781"/>
      <c r="H294" s="782"/>
      <c r="I294" s="782"/>
      <c r="J294" s="782"/>
      <c r="K294" s="311"/>
      <c r="L294" s="783"/>
      <c r="M294" s="784"/>
    </row>
    <row r="295" spans="1:13" s="46" customFormat="1" ht="43.5" customHeight="1">
      <c r="A295" s="158"/>
      <c r="B295" s="174">
        <v>80104</v>
      </c>
      <c r="C295" s="1151"/>
      <c r="D295" s="175"/>
      <c r="E295" s="176" t="s">
        <v>746</v>
      </c>
      <c r="F295" s="837">
        <f>F296</f>
        <v>0</v>
      </c>
      <c r="G295" s="837">
        <f aca="true" t="shared" si="41" ref="G295:M295">G296</f>
        <v>0</v>
      </c>
      <c r="H295" s="837">
        <f t="shared" si="41"/>
        <v>0</v>
      </c>
      <c r="I295" s="837">
        <f t="shared" si="41"/>
        <v>0</v>
      </c>
      <c r="J295" s="837">
        <f t="shared" si="41"/>
        <v>0</v>
      </c>
      <c r="K295" s="837">
        <f t="shared" si="41"/>
        <v>0</v>
      </c>
      <c r="L295" s="837">
        <f t="shared" si="41"/>
        <v>2628000</v>
      </c>
      <c r="M295" s="837">
        <f t="shared" si="41"/>
        <v>2628000</v>
      </c>
    </row>
    <row r="296" spans="1:13" s="10" customFormat="1" ht="31.5" customHeight="1">
      <c r="A296" s="778"/>
      <c r="B296" s="457"/>
      <c r="C296" s="1172" t="s">
        <v>602</v>
      </c>
      <c r="D296" s="458"/>
      <c r="E296" s="848" t="s">
        <v>747</v>
      </c>
      <c r="F296" s="460">
        <f aca="true" t="shared" si="42" ref="F296:M296">F297+F300+F304+F307</f>
        <v>0</v>
      </c>
      <c r="G296" s="849">
        <f t="shared" si="42"/>
        <v>0</v>
      </c>
      <c r="H296" s="850">
        <f t="shared" si="42"/>
        <v>0</v>
      </c>
      <c r="I296" s="850">
        <f t="shared" si="42"/>
        <v>0</v>
      </c>
      <c r="J296" s="850">
        <f t="shared" si="42"/>
        <v>0</v>
      </c>
      <c r="K296" s="850">
        <f t="shared" si="42"/>
        <v>0</v>
      </c>
      <c r="L296" s="850">
        <f t="shared" si="42"/>
        <v>2628000</v>
      </c>
      <c r="M296" s="460">
        <f t="shared" si="42"/>
        <v>2628000</v>
      </c>
    </row>
    <row r="297" spans="1:13" s="10" customFormat="1" ht="39" customHeight="1">
      <c r="A297" s="778"/>
      <c r="B297" s="462"/>
      <c r="C297" s="1172" t="s">
        <v>682</v>
      </c>
      <c r="D297" s="458"/>
      <c r="E297" s="851" t="s">
        <v>748</v>
      </c>
      <c r="F297" s="780"/>
      <c r="G297" s="781"/>
      <c r="H297" s="782"/>
      <c r="I297" s="782"/>
      <c r="J297" s="782"/>
      <c r="K297" s="311"/>
      <c r="L297" s="852">
        <f>577581+8000</f>
        <v>585581</v>
      </c>
      <c r="M297" s="853">
        <f>L297</f>
        <v>585581</v>
      </c>
    </row>
    <row r="298" spans="1:13" s="10" customFormat="1" ht="31.5" customHeight="1">
      <c r="A298" s="778"/>
      <c r="B298" s="462"/>
      <c r="C298" s="1172"/>
      <c r="D298" s="458"/>
      <c r="E298" s="259" t="s">
        <v>706</v>
      </c>
      <c r="F298" s="780"/>
      <c r="G298" s="781"/>
      <c r="H298" s="782"/>
      <c r="I298" s="782"/>
      <c r="J298" s="782"/>
      <c r="K298" s="311"/>
      <c r="L298" s="783"/>
      <c r="M298" s="784"/>
    </row>
    <row r="299" spans="1:13" s="13" customFormat="1" ht="31.5" customHeight="1">
      <c r="A299" s="364"/>
      <c r="B299" s="854"/>
      <c r="C299" s="1172"/>
      <c r="D299" s="798" t="s">
        <v>705</v>
      </c>
      <c r="E299" s="785" t="s">
        <v>849</v>
      </c>
      <c r="F299" s="786"/>
      <c r="G299" s="787"/>
      <c r="H299" s="788"/>
      <c r="I299" s="788"/>
      <c r="J299" s="788"/>
      <c r="K299" s="855"/>
      <c r="L299" s="804">
        <v>8000</v>
      </c>
      <c r="M299" s="805">
        <f>L299</f>
        <v>8000</v>
      </c>
    </row>
    <row r="300" spans="1:13" s="10" customFormat="1" ht="31.5" customHeight="1">
      <c r="A300" s="778"/>
      <c r="B300" s="462"/>
      <c r="C300" s="1172" t="s">
        <v>700</v>
      </c>
      <c r="D300" s="458"/>
      <c r="E300" s="851" t="s">
        <v>750</v>
      </c>
      <c r="F300" s="780"/>
      <c r="G300" s="781"/>
      <c r="H300" s="782"/>
      <c r="I300" s="782"/>
      <c r="J300" s="782"/>
      <c r="K300" s="311"/>
      <c r="L300" s="852">
        <f>710600+50000</f>
        <v>760600</v>
      </c>
      <c r="M300" s="853">
        <f>L300</f>
        <v>760600</v>
      </c>
    </row>
    <row r="301" spans="1:13" s="10" customFormat="1" ht="31.5" customHeight="1">
      <c r="A301" s="778"/>
      <c r="B301" s="462"/>
      <c r="C301" s="1172"/>
      <c r="D301" s="458"/>
      <c r="E301" s="259" t="s">
        <v>706</v>
      </c>
      <c r="F301" s="780"/>
      <c r="G301" s="781"/>
      <c r="H301" s="782"/>
      <c r="I301" s="782"/>
      <c r="J301" s="782"/>
      <c r="K301" s="311"/>
      <c r="L301" s="783"/>
      <c r="M301" s="784"/>
    </row>
    <row r="302" spans="1:13" s="13" customFormat="1" ht="84" customHeight="1">
      <c r="A302" s="364"/>
      <c r="B302" s="854"/>
      <c r="C302" s="1172"/>
      <c r="D302" s="798"/>
      <c r="E302" s="1541" t="s">
        <v>187</v>
      </c>
      <c r="F302" s="786"/>
      <c r="G302" s="787"/>
      <c r="H302" s="788"/>
      <c r="I302" s="788"/>
      <c r="J302" s="788"/>
      <c r="K302" s="855"/>
      <c r="L302" s="804"/>
      <c r="M302" s="805"/>
    </row>
    <row r="303" spans="1:13" s="13" customFormat="1" ht="84" customHeight="1">
      <c r="A303" s="364"/>
      <c r="B303" s="854"/>
      <c r="C303" s="1172"/>
      <c r="D303" s="798"/>
      <c r="E303" s="1541" t="s">
        <v>142</v>
      </c>
      <c r="F303" s="786"/>
      <c r="G303" s="787"/>
      <c r="H303" s="788"/>
      <c r="I303" s="788"/>
      <c r="J303" s="788"/>
      <c r="K303" s="855"/>
      <c r="L303" s="804"/>
      <c r="M303" s="805"/>
    </row>
    <row r="304" spans="1:13" s="10" customFormat="1" ht="31.5" customHeight="1">
      <c r="A304" s="778"/>
      <c r="B304" s="462"/>
      <c r="C304" s="1172" t="s">
        <v>701</v>
      </c>
      <c r="D304" s="458"/>
      <c r="E304" s="851" t="s">
        <v>751</v>
      </c>
      <c r="F304" s="780"/>
      <c r="G304" s="781"/>
      <c r="H304" s="782"/>
      <c r="I304" s="782"/>
      <c r="J304" s="782"/>
      <c r="K304" s="311"/>
      <c r="L304" s="852">
        <f>633156+20000</f>
        <v>653156</v>
      </c>
      <c r="M304" s="853">
        <f>L304</f>
        <v>653156</v>
      </c>
    </row>
    <row r="305" spans="1:13" s="10" customFormat="1" ht="31.5" customHeight="1">
      <c r="A305" s="778"/>
      <c r="B305" s="462"/>
      <c r="C305" s="1172"/>
      <c r="D305" s="458"/>
      <c r="E305" s="259" t="s">
        <v>706</v>
      </c>
      <c r="F305" s="780"/>
      <c r="G305" s="781"/>
      <c r="H305" s="782"/>
      <c r="I305" s="782"/>
      <c r="J305" s="782"/>
      <c r="K305" s="311"/>
      <c r="L305" s="783"/>
      <c r="M305" s="784"/>
    </row>
    <row r="306" spans="1:13" s="13" customFormat="1" ht="31.5" customHeight="1">
      <c r="A306" s="364"/>
      <c r="B306" s="854"/>
      <c r="C306" s="1172"/>
      <c r="D306" s="798" t="s">
        <v>705</v>
      </c>
      <c r="E306" s="785" t="s">
        <v>852</v>
      </c>
      <c r="F306" s="786"/>
      <c r="G306" s="787"/>
      <c r="H306" s="788"/>
      <c r="I306" s="788"/>
      <c r="J306" s="788"/>
      <c r="K306" s="855"/>
      <c r="L306" s="804">
        <v>20000</v>
      </c>
      <c r="M306" s="805">
        <f>L306</f>
        <v>20000</v>
      </c>
    </row>
    <row r="307" spans="1:13" s="10" customFormat="1" ht="31.5" customHeight="1">
      <c r="A307" s="778"/>
      <c r="B307" s="856"/>
      <c r="C307" s="1172" t="s">
        <v>702</v>
      </c>
      <c r="D307" s="458"/>
      <c r="E307" s="851" t="s">
        <v>854</v>
      </c>
      <c r="F307" s="780"/>
      <c r="G307" s="781"/>
      <c r="H307" s="782"/>
      <c r="I307" s="782"/>
      <c r="J307" s="782"/>
      <c r="K307" s="311"/>
      <c r="L307" s="852">
        <v>628663</v>
      </c>
      <c r="M307" s="853">
        <f>L307</f>
        <v>628663</v>
      </c>
    </row>
    <row r="308" spans="1:13" s="46" customFormat="1" ht="43.5" customHeight="1">
      <c r="A308" s="304"/>
      <c r="B308" s="174">
        <v>80110</v>
      </c>
      <c r="C308" s="1151"/>
      <c r="D308" s="175"/>
      <c r="E308" s="176" t="s">
        <v>43</v>
      </c>
      <c r="F308" s="837">
        <f>F309</f>
        <v>0</v>
      </c>
      <c r="G308" s="837">
        <f aca="true" t="shared" si="43" ref="G308:L308">G309</f>
        <v>0</v>
      </c>
      <c r="H308" s="837">
        <f t="shared" si="43"/>
        <v>0</v>
      </c>
      <c r="I308" s="837">
        <f t="shared" si="43"/>
        <v>24600</v>
      </c>
      <c r="J308" s="837">
        <f t="shared" si="43"/>
        <v>0</v>
      </c>
      <c r="K308" s="837">
        <f t="shared" si="43"/>
        <v>0</v>
      </c>
      <c r="L308" s="837">
        <f t="shared" si="43"/>
        <v>6262000</v>
      </c>
      <c r="M308" s="837">
        <f>SUM(F308:L308)</f>
        <v>6286600</v>
      </c>
    </row>
    <row r="309" spans="1:13" s="71" customFormat="1" ht="30.75" customHeight="1">
      <c r="A309" s="774"/>
      <c r="B309" s="465"/>
      <c r="C309" s="1197" t="s">
        <v>602</v>
      </c>
      <c r="D309" s="775"/>
      <c r="E309" s="776" t="s">
        <v>1016</v>
      </c>
      <c r="F309" s="460">
        <f aca="true" t="shared" si="44" ref="F309:M309">F310+F318</f>
        <v>0</v>
      </c>
      <c r="G309" s="777">
        <f t="shared" si="44"/>
        <v>0</v>
      </c>
      <c r="H309" s="460">
        <f t="shared" si="44"/>
        <v>0</v>
      </c>
      <c r="I309" s="460">
        <f t="shared" si="44"/>
        <v>24600</v>
      </c>
      <c r="J309" s="460">
        <f t="shared" si="44"/>
        <v>0</v>
      </c>
      <c r="K309" s="460">
        <f t="shared" si="44"/>
        <v>0</v>
      </c>
      <c r="L309" s="460">
        <f t="shared" si="44"/>
        <v>6262000</v>
      </c>
      <c r="M309" s="460">
        <f t="shared" si="44"/>
        <v>6286600</v>
      </c>
    </row>
    <row r="310" spans="1:13" s="4" customFormat="1" ht="32.25" customHeight="1">
      <c r="A310" s="778"/>
      <c r="B310" s="465"/>
      <c r="C310" s="1172" t="s">
        <v>682</v>
      </c>
      <c r="D310" s="458"/>
      <c r="E310" s="779" t="s">
        <v>855</v>
      </c>
      <c r="F310" s="780"/>
      <c r="G310" s="781"/>
      <c r="H310" s="782"/>
      <c r="I310" s="782"/>
      <c r="J310" s="782"/>
      <c r="K310" s="311"/>
      <c r="L310" s="783">
        <f>2080000+2000+355752+7748+85000+500</f>
        <v>2531000</v>
      </c>
      <c r="M310" s="784">
        <f>L310</f>
        <v>2531000</v>
      </c>
    </row>
    <row r="311" spans="1:13" s="9" customFormat="1" ht="25.5" customHeight="1">
      <c r="A311" s="173"/>
      <c r="B311" s="465"/>
      <c r="C311" s="1198"/>
      <c r="D311" s="458"/>
      <c r="E311" s="785" t="s">
        <v>1018</v>
      </c>
      <c r="F311" s="786"/>
      <c r="G311" s="787"/>
      <c r="H311" s="788"/>
      <c r="I311" s="788"/>
      <c r="J311" s="788"/>
      <c r="K311" s="311"/>
      <c r="L311" s="185"/>
      <c r="M311" s="187"/>
    </row>
    <row r="312" spans="1:13" s="1542" customFormat="1" ht="36.75" customHeight="1">
      <c r="A312" s="173"/>
      <c r="B312" s="465"/>
      <c r="C312" s="458"/>
      <c r="D312" s="458"/>
      <c r="E312" s="1541" t="s">
        <v>613</v>
      </c>
      <c r="F312" s="786"/>
      <c r="G312" s="787"/>
      <c r="H312" s="788"/>
      <c r="I312" s="788"/>
      <c r="J312" s="788"/>
      <c r="K312" s="311"/>
      <c r="L312" s="185"/>
      <c r="M312" s="187"/>
    </row>
    <row r="313" spans="1:13" s="1542" customFormat="1" ht="66.75" customHeight="1">
      <c r="A313" s="173"/>
      <c r="B313" s="465"/>
      <c r="C313" s="458"/>
      <c r="D313" s="458"/>
      <c r="E313" s="1541" t="s">
        <v>408</v>
      </c>
      <c r="F313" s="786"/>
      <c r="G313" s="787"/>
      <c r="H313" s="788"/>
      <c r="I313" s="788"/>
      <c r="J313" s="788"/>
      <c r="K313" s="311"/>
      <c r="L313" s="185"/>
      <c r="M313" s="187"/>
    </row>
    <row r="314" spans="1:13" s="1542" customFormat="1" ht="36.75" customHeight="1">
      <c r="A314" s="173"/>
      <c r="B314" s="465"/>
      <c r="C314" s="458"/>
      <c r="D314" s="458"/>
      <c r="E314" s="1541" t="s">
        <v>616</v>
      </c>
      <c r="F314" s="786"/>
      <c r="G314" s="787"/>
      <c r="H314" s="788"/>
      <c r="I314" s="788"/>
      <c r="J314" s="788"/>
      <c r="K314" s="311"/>
      <c r="L314" s="185"/>
      <c r="M314" s="187"/>
    </row>
    <row r="315" spans="1:13" s="1542" customFormat="1" ht="56.25" customHeight="1">
      <c r="A315" s="173"/>
      <c r="B315" s="465"/>
      <c r="C315" s="458"/>
      <c r="D315" s="458"/>
      <c r="E315" s="1541" t="s">
        <v>614</v>
      </c>
      <c r="F315" s="786"/>
      <c r="G315" s="787"/>
      <c r="H315" s="788"/>
      <c r="I315" s="788"/>
      <c r="J315" s="788"/>
      <c r="K315" s="311"/>
      <c r="L315" s="185"/>
      <c r="M315" s="187"/>
    </row>
    <row r="316" spans="1:13" s="1542" customFormat="1" ht="75.75" customHeight="1">
      <c r="A316" s="173"/>
      <c r="B316" s="465"/>
      <c r="C316" s="458"/>
      <c r="D316" s="458"/>
      <c r="E316" s="1541" t="s">
        <v>147</v>
      </c>
      <c r="F316" s="786"/>
      <c r="G316" s="787"/>
      <c r="H316" s="788"/>
      <c r="I316" s="788"/>
      <c r="J316" s="788"/>
      <c r="K316" s="311"/>
      <c r="L316" s="185"/>
      <c r="M316" s="187"/>
    </row>
    <row r="317" spans="1:13" s="1542" customFormat="1" ht="36.75" customHeight="1">
      <c r="A317" s="173"/>
      <c r="B317" s="465"/>
      <c r="C317" s="458"/>
      <c r="D317" s="458"/>
      <c r="E317" s="1541" t="s">
        <v>615</v>
      </c>
      <c r="F317" s="786"/>
      <c r="G317" s="787"/>
      <c r="H317" s="788"/>
      <c r="I317" s="788"/>
      <c r="J317" s="788"/>
      <c r="K317" s="311"/>
      <c r="L317" s="185"/>
      <c r="M317" s="187"/>
    </row>
    <row r="318" spans="1:13" s="4" customFormat="1" ht="32.25" customHeight="1">
      <c r="A318" s="778"/>
      <c r="B318" s="465"/>
      <c r="C318" s="1199" t="s">
        <v>700</v>
      </c>
      <c r="D318" s="810"/>
      <c r="E318" s="811" t="s">
        <v>777</v>
      </c>
      <c r="F318" s="867">
        <v>0</v>
      </c>
      <c r="G318" s="868">
        <v>0</v>
      </c>
      <c r="H318" s="869">
        <v>0</v>
      </c>
      <c r="I318" s="869">
        <v>24600</v>
      </c>
      <c r="J318" s="869">
        <v>0</v>
      </c>
      <c r="K318" s="815">
        <v>0</v>
      </c>
      <c r="L318" s="816">
        <f>3126000+2000+493600+39400+70000</f>
        <v>3731000</v>
      </c>
      <c r="M318" s="817">
        <f>SUM(F318:L318)</f>
        <v>3755600</v>
      </c>
    </row>
    <row r="319" spans="1:13" s="9" customFormat="1" ht="25.5" customHeight="1">
      <c r="A319" s="173"/>
      <c r="B319" s="465"/>
      <c r="C319" s="1198"/>
      <c r="D319" s="458"/>
      <c r="E319" s="785" t="s">
        <v>1018</v>
      </c>
      <c r="F319" s="786"/>
      <c r="G319" s="787"/>
      <c r="H319" s="788"/>
      <c r="I319" s="788"/>
      <c r="J319" s="788"/>
      <c r="K319" s="311"/>
      <c r="L319" s="185"/>
      <c r="M319" s="187"/>
    </row>
    <row r="320" spans="1:13" s="1542" customFormat="1" ht="36.75" customHeight="1">
      <c r="A320" s="173"/>
      <c r="B320" s="465"/>
      <c r="C320" s="458"/>
      <c r="D320" s="458"/>
      <c r="E320" s="1541" t="s">
        <v>617</v>
      </c>
      <c r="F320" s="786"/>
      <c r="G320" s="787"/>
      <c r="H320" s="788"/>
      <c r="I320" s="788"/>
      <c r="J320" s="788"/>
      <c r="K320" s="311"/>
      <c r="L320" s="185"/>
      <c r="M320" s="187"/>
    </row>
    <row r="321" spans="1:13" s="1542" customFormat="1" ht="66.75" customHeight="1">
      <c r="A321" s="173"/>
      <c r="B321" s="465"/>
      <c r="C321" s="458"/>
      <c r="D321" s="458"/>
      <c r="E321" s="1541" t="s">
        <v>408</v>
      </c>
      <c r="F321" s="786"/>
      <c r="G321" s="787"/>
      <c r="H321" s="788"/>
      <c r="I321" s="788"/>
      <c r="J321" s="788"/>
      <c r="K321" s="311"/>
      <c r="L321" s="185"/>
      <c r="M321" s="187"/>
    </row>
    <row r="322" spans="1:13" s="1542" customFormat="1" ht="36.75" customHeight="1">
      <c r="A322" s="173"/>
      <c r="B322" s="465"/>
      <c r="C322" s="458"/>
      <c r="D322" s="458"/>
      <c r="E322" s="1541" t="s">
        <v>619</v>
      </c>
      <c r="F322" s="786"/>
      <c r="G322" s="787"/>
      <c r="H322" s="788"/>
      <c r="I322" s="788"/>
      <c r="J322" s="788"/>
      <c r="K322" s="311"/>
      <c r="L322" s="185"/>
      <c r="M322" s="187"/>
    </row>
    <row r="323" spans="1:13" s="1542" customFormat="1" ht="56.25" customHeight="1">
      <c r="A323" s="173"/>
      <c r="B323" s="465"/>
      <c r="C323" s="458"/>
      <c r="D323" s="458"/>
      <c r="E323" s="1541" t="s">
        <v>618</v>
      </c>
      <c r="F323" s="786"/>
      <c r="G323" s="787"/>
      <c r="H323" s="788"/>
      <c r="I323" s="788"/>
      <c r="J323" s="788"/>
      <c r="K323" s="311"/>
      <c r="L323" s="185"/>
      <c r="M323" s="187"/>
    </row>
    <row r="324" spans="1:13" s="1542" customFormat="1" ht="57" customHeight="1">
      <c r="A324" s="173"/>
      <c r="B324" s="465"/>
      <c r="C324" s="458"/>
      <c r="D324" s="458"/>
      <c r="E324" s="1541" t="s">
        <v>148</v>
      </c>
      <c r="F324" s="786"/>
      <c r="G324" s="787"/>
      <c r="H324" s="788"/>
      <c r="I324" s="788"/>
      <c r="J324" s="788"/>
      <c r="K324" s="311"/>
      <c r="L324" s="185"/>
      <c r="M324" s="187"/>
    </row>
    <row r="325" spans="1:13" s="1542" customFormat="1" ht="36.75" customHeight="1">
      <c r="A325" s="173"/>
      <c r="B325" s="465"/>
      <c r="C325" s="458"/>
      <c r="D325" s="458"/>
      <c r="E325" s="1541" t="s">
        <v>149</v>
      </c>
      <c r="F325" s="786"/>
      <c r="G325" s="787"/>
      <c r="H325" s="788"/>
      <c r="I325" s="788"/>
      <c r="J325" s="788"/>
      <c r="K325" s="311"/>
      <c r="L325" s="185"/>
      <c r="M325" s="187"/>
    </row>
    <row r="326" spans="1:13" s="1542" customFormat="1" ht="63" customHeight="1">
      <c r="A326" s="173"/>
      <c r="B326" s="465"/>
      <c r="C326" s="458"/>
      <c r="D326" s="458"/>
      <c r="E326" s="1541" t="s">
        <v>412</v>
      </c>
      <c r="F326" s="786"/>
      <c r="G326" s="787"/>
      <c r="H326" s="788"/>
      <c r="I326" s="788"/>
      <c r="J326" s="788"/>
      <c r="K326" s="311"/>
      <c r="L326" s="185"/>
      <c r="M326" s="187"/>
    </row>
    <row r="327" spans="1:13" s="46" customFormat="1" ht="43.5" customHeight="1">
      <c r="A327" s="304"/>
      <c r="B327" s="174">
        <v>80113</v>
      </c>
      <c r="C327" s="1151"/>
      <c r="D327" s="175"/>
      <c r="E327" s="176" t="s">
        <v>779</v>
      </c>
      <c r="F327" s="837">
        <f>F328</f>
        <v>0</v>
      </c>
      <c r="G327" s="838">
        <f aca="true" t="shared" si="45" ref="G327:M327">G328</f>
        <v>0</v>
      </c>
      <c r="H327" s="838">
        <f t="shared" si="45"/>
        <v>0</v>
      </c>
      <c r="I327" s="838">
        <f t="shared" si="45"/>
        <v>0</v>
      </c>
      <c r="J327" s="838">
        <f t="shared" si="45"/>
        <v>0</v>
      </c>
      <c r="K327" s="838">
        <f t="shared" si="45"/>
        <v>0</v>
      </c>
      <c r="L327" s="838">
        <f t="shared" si="45"/>
        <v>377000</v>
      </c>
      <c r="M327" s="839">
        <f t="shared" si="45"/>
        <v>377000</v>
      </c>
    </row>
    <row r="328" spans="1:13" s="47" customFormat="1" ht="43.5" customHeight="1">
      <c r="A328" s="829"/>
      <c r="B328" s="307"/>
      <c r="C328" s="1202" t="s">
        <v>602</v>
      </c>
      <c r="D328" s="656"/>
      <c r="E328" s="872" t="s">
        <v>1016</v>
      </c>
      <c r="F328" s="460">
        <f>SUM(F329:F334)</f>
        <v>0</v>
      </c>
      <c r="G328" s="777">
        <f aca="true" t="shared" si="46" ref="G328:M328">SUM(G329:G334)</f>
        <v>0</v>
      </c>
      <c r="H328" s="460">
        <f t="shared" si="46"/>
        <v>0</v>
      </c>
      <c r="I328" s="460">
        <f t="shared" si="46"/>
        <v>0</v>
      </c>
      <c r="J328" s="460">
        <f t="shared" si="46"/>
        <v>0</v>
      </c>
      <c r="K328" s="460">
        <f t="shared" si="46"/>
        <v>0</v>
      </c>
      <c r="L328" s="460">
        <f t="shared" si="46"/>
        <v>377000</v>
      </c>
      <c r="M328" s="460">
        <f t="shared" si="46"/>
        <v>377000</v>
      </c>
    </row>
    <row r="329" spans="1:13" s="47" customFormat="1" ht="43.5" customHeight="1">
      <c r="A329" s="829"/>
      <c r="B329" s="307"/>
      <c r="C329" s="1203" t="s">
        <v>682</v>
      </c>
      <c r="D329" s="181"/>
      <c r="E329" s="309" t="s">
        <v>44</v>
      </c>
      <c r="F329" s="310"/>
      <c r="G329" s="461"/>
      <c r="H329" s="183"/>
      <c r="I329" s="183"/>
      <c r="J329" s="183"/>
      <c r="K329" s="183"/>
      <c r="L329" s="183">
        <v>146000</v>
      </c>
      <c r="M329" s="873">
        <f aca="true" t="shared" si="47" ref="M329:M334">L329</f>
        <v>146000</v>
      </c>
    </row>
    <row r="330" spans="1:13" s="47" customFormat="1" ht="43.5" customHeight="1">
      <c r="A330" s="829"/>
      <c r="B330" s="307"/>
      <c r="C330" s="1204" t="s">
        <v>700</v>
      </c>
      <c r="D330" s="874"/>
      <c r="E330" s="875" t="s">
        <v>780</v>
      </c>
      <c r="F330" s="876"/>
      <c r="G330" s="877"/>
      <c r="H330" s="192"/>
      <c r="I330" s="192"/>
      <c r="J330" s="192"/>
      <c r="K330" s="192"/>
      <c r="L330" s="192">
        <v>155000</v>
      </c>
      <c r="M330" s="878">
        <f t="shared" si="47"/>
        <v>155000</v>
      </c>
    </row>
    <row r="331" spans="1:13" s="47" customFormat="1" ht="43.5" customHeight="1">
      <c r="A331" s="829"/>
      <c r="B331" s="307"/>
      <c r="C331" s="1204" t="s">
        <v>701</v>
      </c>
      <c r="D331" s="874"/>
      <c r="E331" s="875" t="s">
        <v>777</v>
      </c>
      <c r="F331" s="876"/>
      <c r="G331" s="877"/>
      <c r="H331" s="192"/>
      <c r="I331" s="192"/>
      <c r="J331" s="192"/>
      <c r="K331" s="192"/>
      <c r="L331" s="192">
        <v>22000</v>
      </c>
      <c r="M331" s="878">
        <f t="shared" si="47"/>
        <v>22000</v>
      </c>
    </row>
    <row r="332" spans="1:13" s="47" customFormat="1" ht="43.5" customHeight="1">
      <c r="A332" s="829"/>
      <c r="B332" s="307"/>
      <c r="C332" s="1204" t="s">
        <v>702</v>
      </c>
      <c r="D332" s="874"/>
      <c r="E332" s="875" t="s">
        <v>781</v>
      </c>
      <c r="F332" s="876"/>
      <c r="G332" s="877"/>
      <c r="H332" s="192"/>
      <c r="I332" s="192"/>
      <c r="J332" s="192"/>
      <c r="K332" s="192"/>
      <c r="L332" s="192">
        <v>24000</v>
      </c>
      <c r="M332" s="878">
        <f t="shared" si="47"/>
        <v>24000</v>
      </c>
    </row>
    <row r="333" spans="1:13" s="47" customFormat="1" ht="43.5" customHeight="1">
      <c r="A333" s="829"/>
      <c r="B333" s="307"/>
      <c r="C333" s="1204" t="s">
        <v>703</v>
      </c>
      <c r="D333" s="874"/>
      <c r="E333" s="875" t="s">
        <v>32</v>
      </c>
      <c r="F333" s="876"/>
      <c r="G333" s="877"/>
      <c r="H333" s="192"/>
      <c r="I333" s="192"/>
      <c r="J333" s="192"/>
      <c r="K333" s="192"/>
      <c r="L333" s="192">
        <v>0</v>
      </c>
      <c r="M333" s="878">
        <f t="shared" si="47"/>
        <v>0</v>
      </c>
    </row>
    <row r="334" spans="1:13" s="47" customFormat="1" ht="43.5" customHeight="1">
      <c r="A334" s="829"/>
      <c r="B334" s="307"/>
      <c r="C334" s="1205" t="s">
        <v>704</v>
      </c>
      <c r="D334" s="181"/>
      <c r="E334" s="309" t="s">
        <v>33</v>
      </c>
      <c r="F334" s="879"/>
      <c r="G334" s="880"/>
      <c r="H334" s="325"/>
      <c r="I334" s="325"/>
      <c r="J334" s="325"/>
      <c r="K334" s="325"/>
      <c r="L334" s="325">
        <v>30000</v>
      </c>
      <c r="M334" s="881">
        <f t="shared" si="47"/>
        <v>30000</v>
      </c>
    </row>
    <row r="335" spans="1:13" s="46" customFormat="1" ht="43.5" customHeight="1">
      <c r="A335" s="304"/>
      <c r="B335" s="174">
        <v>80114</v>
      </c>
      <c r="C335" s="1151"/>
      <c r="D335" s="175"/>
      <c r="E335" s="176" t="s">
        <v>573</v>
      </c>
      <c r="F335" s="837">
        <f aca="true" t="shared" si="48" ref="F335:M335">F336</f>
        <v>0</v>
      </c>
      <c r="G335" s="838">
        <f t="shared" si="48"/>
        <v>0</v>
      </c>
      <c r="H335" s="838">
        <f t="shared" si="48"/>
        <v>0</v>
      </c>
      <c r="I335" s="838">
        <f t="shared" si="48"/>
        <v>0</v>
      </c>
      <c r="J335" s="838">
        <f t="shared" si="48"/>
        <v>0</v>
      </c>
      <c r="K335" s="838">
        <f t="shared" si="48"/>
        <v>0</v>
      </c>
      <c r="L335" s="838">
        <f t="shared" si="48"/>
        <v>554000</v>
      </c>
      <c r="M335" s="839">
        <f t="shared" si="48"/>
        <v>554000</v>
      </c>
    </row>
    <row r="336" spans="1:13" s="4" customFormat="1" ht="52.5" customHeight="1">
      <c r="A336" s="173"/>
      <c r="B336" s="357"/>
      <c r="C336" s="1206">
        <v>1</v>
      </c>
      <c r="D336" s="181"/>
      <c r="E336" s="182" t="s">
        <v>721</v>
      </c>
      <c r="F336" s="1572"/>
      <c r="G336" s="883"/>
      <c r="H336" s="884"/>
      <c r="I336" s="884"/>
      <c r="J336" s="884"/>
      <c r="K336" s="186"/>
      <c r="L336" s="185">
        <f>524000+30000</f>
        <v>554000</v>
      </c>
      <c r="M336" s="187">
        <f>L336</f>
        <v>554000</v>
      </c>
    </row>
    <row r="337" spans="1:13" s="1573" customFormat="1" ht="23.25">
      <c r="A337" s="173"/>
      <c r="B337" s="357"/>
      <c r="C337" s="1206"/>
      <c r="D337" s="181"/>
      <c r="E337" s="259" t="s">
        <v>706</v>
      </c>
      <c r="F337" s="651"/>
      <c r="G337" s="883"/>
      <c r="H337" s="883"/>
      <c r="I337" s="883"/>
      <c r="J337" s="883"/>
      <c r="K337" s="184"/>
      <c r="L337" s="184"/>
      <c r="M337" s="726"/>
    </row>
    <row r="338" spans="1:13" s="1573" customFormat="1" ht="23.25">
      <c r="A338" s="173"/>
      <c r="B338" s="357"/>
      <c r="C338" s="1206"/>
      <c r="D338" s="181"/>
      <c r="E338" s="1104" t="s">
        <v>150</v>
      </c>
      <c r="F338" s="651"/>
      <c r="G338" s="883"/>
      <c r="H338" s="883"/>
      <c r="I338" s="883"/>
      <c r="J338" s="883"/>
      <c r="K338" s="184"/>
      <c r="L338" s="184"/>
      <c r="M338" s="726"/>
    </row>
    <row r="339" spans="1:13" s="4" customFormat="1" ht="23.25">
      <c r="A339" s="173"/>
      <c r="B339" s="357"/>
      <c r="C339" s="1206"/>
      <c r="D339" s="181"/>
      <c r="E339" s="1104" t="s">
        <v>984</v>
      </c>
      <c r="F339" s="1574"/>
      <c r="G339" s="883"/>
      <c r="H339" s="883"/>
      <c r="I339" s="883"/>
      <c r="J339" s="883"/>
      <c r="K339" s="184"/>
      <c r="L339" s="184"/>
      <c r="M339" s="726"/>
    </row>
    <row r="340" spans="1:13" s="74" customFormat="1" ht="33.75" customHeight="1">
      <c r="A340" s="885"/>
      <c r="B340" s="886" t="s">
        <v>782</v>
      </c>
      <c r="C340" s="1207"/>
      <c r="D340" s="887"/>
      <c r="E340" s="888" t="s">
        <v>783</v>
      </c>
      <c r="F340" s="456">
        <f>F341</f>
        <v>0</v>
      </c>
      <c r="G340" s="889">
        <f aca="true" t="shared" si="49" ref="G340:M340">G341</f>
        <v>0</v>
      </c>
      <c r="H340" s="456">
        <f t="shared" si="49"/>
        <v>0</v>
      </c>
      <c r="I340" s="456">
        <f t="shared" si="49"/>
        <v>0</v>
      </c>
      <c r="J340" s="456">
        <f t="shared" si="49"/>
        <v>0</v>
      </c>
      <c r="K340" s="456">
        <f t="shared" si="49"/>
        <v>0</v>
      </c>
      <c r="L340" s="456">
        <f t="shared" si="49"/>
        <v>2760000</v>
      </c>
      <c r="M340" s="456">
        <f t="shared" si="49"/>
        <v>2760000</v>
      </c>
    </row>
    <row r="341" spans="1:13" s="74" customFormat="1" ht="27" customHeight="1">
      <c r="A341" s="774"/>
      <c r="B341" s="465"/>
      <c r="C341" s="1197" t="s">
        <v>602</v>
      </c>
      <c r="D341" s="775"/>
      <c r="E341" s="776" t="s">
        <v>1016</v>
      </c>
      <c r="F341" s="460">
        <f aca="true" t="shared" si="50" ref="F341:M341">F342+F347</f>
        <v>0</v>
      </c>
      <c r="G341" s="777">
        <f t="shared" si="50"/>
        <v>0</v>
      </c>
      <c r="H341" s="460">
        <f t="shared" si="50"/>
        <v>0</v>
      </c>
      <c r="I341" s="460">
        <f t="shared" si="50"/>
        <v>0</v>
      </c>
      <c r="J341" s="460">
        <f t="shared" si="50"/>
        <v>0</v>
      </c>
      <c r="K341" s="460">
        <f t="shared" si="50"/>
        <v>0</v>
      </c>
      <c r="L341" s="460">
        <f t="shared" si="50"/>
        <v>2760000</v>
      </c>
      <c r="M341" s="460">
        <f t="shared" si="50"/>
        <v>2760000</v>
      </c>
    </row>
    <row r="342" spans="1:13" s="77" customFormat="1" ht="27.75" customHeight="1">
      <c r="A342" s="885"/>
      <c r="B342" s="465"/>
      <c r="C342" s="1213" t="s">
        <v>682</v>
      </c>
      <c r="D342" s="917"/>
      <c r="E342" s="910" t="s">
        <v>44</v>
      </c>
      <c r="F342" s="909"/>
      <c r="G342" s="910"/>
      <c r="H342" s="911"/>
      <c r="I342" s="911"/>
      <c r="J342" s="911"/>
      <c r="K342" s="311"/>
      <c r="L342" s="312">
        <f>750000+600+89400</f>
        <v>840000</v>
      </c>
      <c r="M342" s="313">
        <f>L342</f>
        <v>840000</v>
      </c>
    </row>
    <row r="343" spans="1:13" s="9" customFormat="1" ht="30" customHeight="1">
      <c r="A343" s="173"/>
      <c r="B343" s="465"/>
      <c r="C343" s="1198"/>
      <c r="D343" s="458"/>
      <c r="E343" s="785" t="s">
        <v>1018</v>
      </c>
      <c r="F343" s="786"/>
      <c r="G343" s="787"/>
      <c r="H343" s="788"/>
      <c r="I343" s="788"/>
      <c r="J343" s="788"/>
      <c r="K343" s="311"/>
      <c r="L343" s="185"/>
      <c r="M343" s="187"/>
    </row>
    <row r="344" spans="1:13" s="1542" customFormat="1" ht="36.75" customHeight="1">
      <c r="A344" s="173"/>
      <c r="B344" s="465"/>
      <c r="C344" s="458"/>
      <c r="D344" s="458"/>
      <c r="E344" s="1541" t="s">
        <v>620</v>
      </c>
      <c r="F344" s="786"/>
      <c r="G344" s="787"/>
      <c r="H344" s="788"/>
      <c r="I344" s="788"/>
      <c r="J344" s="788"/>
      <c r="K344" s="311"/>
      <c r="L344" s="185"/>
      <c r="M344" s="187"/>
    </row>
    <row r="345" spans="1:13" s="1542" customFormat="1" ht="66.75" customHeight="1">
      <c r="A345" s="173"/>
      <c r="B345" s="465"/>
      <c r="C345" s="458"/>
      <c r="D345" s="458"/>
      <c r="E345" s="1541" t="s">
        <v>621</v>
      </c>
      <c r="F345" s="786"/>
      <c r="G345" s="787"/>
      <c r="H345" s="788"/>
      <c r="I345" s="788"/>
      <c r="J345" s="788"/>
      <c r="K345" s="311"/>
      <c r="L345" s="185"/>
      <c r="M345" s="187"/>
    </row>
    <row r="346" spans="1:13" s="1542" customFormat="1" ht="36.75" customHeight="1">
      <c r="A346" s="173"/>
      <c r="B346" s="465"/>
      <c r="C346" s="458"/>
      <c r="D346" s="458"/>
      <c r="E346" s="1541" t="s">
        <v>622</v>
      </c>
      <c r="F346" s="786"/>
      <c r="G346" s="787"/>
      <c r="H346" s="788"/>
      <c r="I346" s="788"/>
      <c r="J346" s="788"/>
      <c r="K346" s="311"/>
      <c r="L346" s="185"/>
      <c r="M346" s="187"/>
    </row>
    <row r="347" spans="1:13" s="78" customFormat="1" ht="27" customHeight="1">
      <c r="A347" s="885"/>
      <c r="B347" s="465"/>
      <c r="C347" s="1543" t="s">
        <v>700</v>
      </c>
      <c r="D347" s="1544"/>
      <c r="E347" s="1545" t="s">
        <v>780</v>
      </c>
      <c r="F347" s="1546"/>
      <c r="G347" s="1545"/>
      <c r="H347" s="1547"/>
      <c r="I347" s="1547"/>
      <c r="J347" s="1547"/>
      <c r="K347" s="815"/>
      <c r="L347" s="1548">
        <f>1640000+1500+278500</f>
        <v>1920000</v>
      </c>
      <c r="M347" s="1549">
        <f>K347+L347</f>
        <v>1920000</v>
      </c>
    </row>
    <row r="348" spans="1:13" s="9" customFormat="1" ht="30" customHeight="1">
      <c r="A348" s="173"/>
      <c r="B348" s="465"/>
      <c r="C348" s="1198"/>
      <c r="D348" s="458"/>
      <c r="E348" s="785" t="s">
        <v>1018</v>
      </c>
      <c r="F348" s="786"/>
      <c r="G348" s="787"/>
      <c r="H348" s="788"/>
      <c r="I348" s="788"/>
      <c r="J348" s="788"/>
      <c r="K348" s="311"/>
      <c r="L348" s="185"/>
      <c r="M348" s="187"/>
    </row>
    <row r="349" spans="1:13" s="1542" customFormat="1" ht="36.75" customHeight="1">
      <c r="A349" s="173"/>
      <c r="B349" s="465"/>
      <c r="C349" s="458"/>
      <c r="D349" s="458"/>
      <c r="E349" s="1541" t="s">
        <v>623</v>
      </c>
      <c r="F349" s="786"/>
      <c r="G349" s="787"/>
      <c r="H349" s="788"/>
      <c r="I349" s="788"/>
      <c r="J349" s="788"/>
      <c r="K349" s="311"/>
      <c r="L349" s="185"/>
      <c r="M349" s="187"/>
    </row>
    <row r="350" spans="1:13" s="1542" customFormat="1" ht="66.75" customHeight="1">
      <c r="A350" s="173"/>
      <c r="B350" s="465"/>
      <c r="C350" s="458"/>
      <c r="D350" s="458"/>
      <c r="E350" s="1541" t="s">
        <v>624</v>
      </c>
      <c r="F350" s="786"/>
      <c r="G350" s="787"/>
      <c r="H350" s="788"/>
      <c r="I350" s="788"/>
      <c r="J350" s="788"/>
      <c r="K350" s="311"/>
      <c r="L350" s="185"/>
      <c r="M350" s="187"/>
    </row>
    <row r="351" spans="1:13" s="1542" customFormat="1" ht="36.75" customHeight="1">
      <c r="A351" s="173"/>
      <c r="B351" s="465"/>
      <c r="C351" s="458"/>
      <c r="D351" s="458"/>
      <c r="E351" s="1541" t="s">
        <v>625</v>
      </c>
      <c r="F351" s="786"/>
      <c r="G351" s="787"/>
      <c r="H351" s="788"/>
      <c r="I351" s="788"/>
      <c r="J351" s="788"/>
      <c r="K351" s="311"/>
      <c r="L351" s="185"/>
      <c r="M351" s="187"/>
    </row>
    <row r="352" spans="1:13" s="77" customFormat="1" ht="30.75" customHeight="1">
      <c r="A352" s="885"/>
      <c r="B352" s="886" t="s">
        <v>784</v>
      </c>
      <c r="C352" s="1210"/>
      <c r="D352" s="899"/>
      <c r="E352" s="900" t="s">
        <v>785</v>
      </c>
      <c r="F352" s="456">
        <f>F353</f>
        <v>0</v>
      </c>
      <c r="G352" s="889">
        <f aca="true" t="shared" si="51" ref="G352:M353">G353</f>
        <v>0</v>
      </c>
      <c r="H352" s="456">
        <f t="shared" si="51"/>
        <v>0</v>
      </c>
      <c r="I352" s="456">
        <f t="shared" si="51"/>
        <v>0</v>
      </c>
      <c r="J352" s="456">
        <f t="shared" si="51"/>
        <v>0</v>
      </c>
      <c r="K352" s="456">
        <f t="shared" si="51"/>
        <v>0</v>
      </c>
      <c r="L352" s="456">
        <f t="shared" si="51"/>
        <v>211000</v>
      </c>
      <c r="M352" s="456">
        <f t="shared" si="51"/>
        <v>211000</v>
      </c>
    </row>
    <row r="353" spans="1:13" s="76" customFormat="1" ht="30.75" customHeight="1">
      <c r="A353" s="774"/>
      <c r="B353" s="465"/>
      <c r="C353" s="1197" t="s">
        <v>602</v>
      </c>
      <c r="D353" s="901"/>
      <c r="E353" s="776" t="s">
        <v>1016</v>
      </c>
      <c r="F353" s="310">
        <f>F354</f>
        <v>0</v>
      </c>
      <c r="G353" s="461">
        <f t="shared" si="51"/>
        <v>0</v>
      </c>
      <c r="H353" s="310">
        <f t="shared" si="51"/>
        <v>0</v>
      </c>
      <c r="I353" s="310">
        <f t="shared" si="51"/>
        <v>0</v>
      </c>
      <c r="J353" s="310">
        <f t="shared" si="51"/>
        <v>0</v>
      </c>
      <c r="K353" s="310">
        <f t="shared" si="51"/>
        <v>0</v>
      </c>
      <c r="L353" s="310">
        <f t="shared" si="51"/>
        <v>211000</v>
      </c>
      <c r="M353" s="310">
        <f t="shared" si="51"/>
        <v>211000</v>
      </c>
    </row>
    <row r="354" spans="1:13" s="77" customFormat="1" ht="28.5" customHeight="1">
      <c r="A354" s="885"/>
      <c r="B354" s="465"/>
      <c r="C354" s="1213" t="s">
        <v>682</v>
      </c>
      <c r="D354" s="917"/>
      <c r="E354" s="910" t="s">
        <v>780</v>
      </c>
      <c r="F354" s="909"/>
      <c r="G354" s="910"/>
      <c r="H354" s="911"/>
      <c r="I354" s="911"/>
      <c r="J354" s="911"/>
      <c r="K354" s="311"/>
      <c r="L354" s="312">
        <f>199000+200+11800</f>
        <v>211000</v>
      </c>
      <c r="M354" s="313">
        <f>L354</f>
        <v>211000</v>
      </c>
    </row>
    <row r="355" spans="1:13" s="9" customFormat="1" ht="30" customHeight="1">
      <c r="A355" s="173"/>
      <c r="B355" s="465"/>
      <c r="C355" s="1198"/>
      <c r="D355" s="458"/>
      <c r="E355" s="785" t="s">
        <v>1018</v>
      </c>
      <c r="F355" s="786"/>
      <c r="G355" s="787"/>
      <c r="H355" s="788"/>
      <c r="I355" s="788"/>
      <c r="J355" s="788"/>
      <c r="K355" s="311"/>
      <c r="L355" s="185"/>
      <c r="M355" s="187"/>
    </row>
    <row r="356" spans="1:13" s="1542" customFormat="1" ht="36.75" customHeight="1">
      <c r="A356" s="173"/>
      <c r="B356" s="465"/>
      <c r="C356" s="458"/>
      <c r="D356" s="458"/>
      <c r="E356" s="1541" t="s">
        <v>626</v>
      </c>
      <c r="F356" s="786"/>
      <c r="G356" s="787"/>
      <c r="H356" s="788"/>
      <c r="I356" s="788"/>
      <c r="J356" s="788"/>
      <c r="K356" s="311"/>
      <c r="L356" s="185"/>
      <c r="M356" s="187"/>
    </row>
    <row r="357" spans="1:13" s="1542" customFormat="1" ht="66.75" customHeight="1">
      <c r="A357" s="173"/>
      <c r="B357" s="465"/>
      <c r="C357" s="458"/>
      <c r="D357" s="458"/>
      <c r="E357" s="1541" t="s">
        <v>627</v>
      </c>
      <c r="F357" s="786"/>
      <c r="G357" s="787"/>
      <c r="H357" s="788"/>
      <c r="I357" s="788"/>
      <c r="J357" s="788"/>
      <c r="K357" s="311"/>
      <c r="L357" s="185"/>
      <c r="M357" s="187"/>
    </row>
    <row r="358" spans="1:13" s="1542" customFormat="1" ht="36.75" customHeight="1">
      <c r="A358" s="173"/>
      <c r="B358" s="465"/>
      <c r="C358" s="458"/>
      <c r="D358" s="458"/>
      <c r="E358" s="1541" t="s">
        <v>628</v>
      </c>
      <c r="F358" s="786"/>
      <c r="G358" s="787"/>
      <c r="H358" s="788"/>
      <c r="I358" s="788"/>
      <c r="J358" s="788"/>
      <c r="K358" s="311"/>
      <c r="L358" s="185"/>
      <c r="M358" s="187"/>
    </row>
    <row r="359" spans="1:13" s="75" customFormat="1" ht="36.75" customHeight="1">
      <c r="A359" s="885"/>
      <c r="B359" s="886" t="s">
        <v>786</v>
      </c>
      <c r="C359" s="1210"/>
      <c r="D359" s="899"/>
      <c r="E359" s="900" t="s">
        <v>787</v>
      </c>
      <c r="F359" s="456">
        <f>F360</f>
        <v>0</v>
      </c>
      <c r="G359" s="889">
        <f aca="true" t="shared" si="52" ref="G359:M360">G360</f>
        <v>0</v>
      </c>
      <c r="H359" s="456">
        <f t="shared" si="52"/>
        <v>0</v>
      </c>
      <c r="I359" s="456">
        <f t="shared" si="52"/>
        <v>0</v>
      </c>
      <c r="J359" s="456">
        <f t="shared" si="52"/>
        <v>0</v>
      </c>
      <c r="K359" s="456">
        <f t="shared" si="52"/>
        <v>0</v>
      </c>
      <c r="L359" s="456">
        <f t="shared" si="52"/>
        <v>452000</v>
      </c>
      <c r="M359" s="456">
        <f t="shared" si="52"/>
        <v>452000</v>
      </c>
    </row>
    <row r="360" spans="1:13" s="77" customFormat="1" ht="27.75" customHeight="1">
      <c r="A360" s="774"/>
      <c r="B360" s="465"/>
      <c r="C360" s="1197" t="s">
        <v>602</v>
      </c>
      <c r="D360" s="775"/>
      <c r="E360" s="776" t="s">
        <v>1016</v>
      </c>
      <c r="F360" s="310">
        <f>F361</f>
        <v>0</v>
      </c>
      <c r="G360" s="461">
        <f t="shared" si="52"/>
        <v>0</v>
      </c>
      <c r="H360" s="310">
        <f t="shared" si="52"/>
        <v>0</v>
      </c>
      <c r="I360" s="310">
        <f t="shared" si="52"/>
        <v>0</v>
      </c>
      <c r="J360" s="310">
        <f t="shared" si="52"/>
        <v>0</v>
      </c>
      <c r="K360" s="310">
        <f t="shared" si="52"/>
        <v>0</v>
      </c>
      <c r="L360" s="310">
        <f t="shared" si="52"/>
        <v>452000</v>
      </c>
      <c r="M360" s="310">
        <f t="shared" si="52"/>
        <v>452000</v>
      </c>
    </row>
    <row r="361" spans="1:13" s="77" customFormat="1" ht="30.75" customHeight="1">
      <c r="A361" s="885"/>
      <c r="B361" s="465"/>
      <c r="C361" s="1213" t="s">
        <v>682</v>
      </c>
      <c r="D361" s="917"/>
      <c r="E361" s="910" t="s">
        <v>780</v>
      </c>
      <c r="F361" s="909"/>
      <c r="G361" s="910"/>
      <c r="H361" s="911"/>
      <c r="I361" s="911"/>
      <c r="J361" s="911"/>
      <c r="K361" s="186"/>
      <c r="L361" s="185">
        <f>362000+300+89700</f>
        <v>452000</v>
      </c>
      <c r="M361" s="187">
        <f>L361</f>
        <v>452000</v>
      </c>
    </row>
    <row r="362" spans="1:13" s="9" customFormat="1" ht="30" customHeight="1">
      <c r="A362" s="173"/>
      <c r="B362" s="465"/>
      <c r="C362" s="1198"/>
      <c r="D362" s="458"/>
      <c r="E362" s="785" t="s">
        <v>1018</v>
      </c>
      <c r="F362" s="786"/>
      <c r="G362" s="787"/>
      <c r="H362" s="788"/>
      <c r="I362" s="788"/>
      <c r="J362" s="788"/>
      <c r="K362" s="311"/>
      <c r="L362" s="185"/>
      <c r="M362" s="187"/>
    </row>
    <row r="363" spans="1:13" s="1542" customFormat="1" ht="36.75" customHeight="1">
      <c r="A363" s="173"/>
      <c r="B363" s="465"/>
      <c r="C363" s="458"/>
      <c r="D363" s="458"/>
      <c r="E363" s="1541" t="s">
        <v>629</v>
      </c>
      <c r="F363" s="786"/>
      <c r="G363" s="787"/>
      <c r="H363" s="788"/>
      <c r="I363" s="788"/>
      <c r="J363" s="788"/>
      <c r="K363" s="311"/>
      <c r="L363" s="185"/>
      <c r="M363" s="187"/>
    </row>
    <row r="364" spans="1:13" s="1542" customFormat="1" ht="66.75" customHeight="1">
      <c r="A364" s="173"/>
      <c r="B364" s="465"/>
      <c r="C364" s="458"/>
      <c r="D364" s="458"/>
      <c r="E364" s="1541" t="s">
        <v>630</v>
      </c>
      <c r="F364" s="786"/>
      <c r="G364" s="787"/>
      <c r="H364" s="788"/>
      <c r="I364" s="788"/>
      <c r="J364" s="788"/>
      <c r="K364" s="311"/>
      <c r="L364" s="185"/>
      <c r="M364" s="187"/>
    </row>
    <row r="365" spans="1:13" s="1542" customFormat="1" ht="36.75" customHeight="1">
      <c r="A365" s="173"/>
      <c r="B365" s="465"/>
      <c r="C365" s="458"/>
      <c r="D365" s="458"/>
      <c r="E365" s="1541" t="s">
        <v>414</v>
      </c>
      <c r="F365" s="786"/>
      <c r="G365" s="787"/>
      <c r="H365" s="788"/>
      <c r="I365" s="788"/>
      <c r="J365" s="788"/>
      <c r="K365" s="311"/>
      <c r="L365" s="185"/>
      <c r="M365" s="187"/>
    </row>
    <row r="366" spans="1:13" s="78" customFormat="1" ht="36.75" customHeight="1">
      <c r="A366" s="885"/>
      <c r="B366" s="886">
        <v>80145</v>
      </c>
      <c r="C366" s="1212"/>
      <c r="D366" s="912"/>
      <c r="E366" s="913" t="s">
        <v>788</v>
      </c>
      <c r="F366" s="914">
        <f>F367</f>
        <v>0</v>
      </c>
      <c r="G366" s="915">
        <f aca="true" t="shared" si="53" ref="G366:M367">G367</f>
        <v>0</v>
      </c>
      <c r="H366" s="914">
        <f t="shared" si="53"/>
        <v>0</v>
      </c>
      <c r="I366" s="914">
        <f t="shared" si="53"/>
        <v>0</v>
      </c>
      <c r="J366" s="914">
        <f t="shared" si="53"/>
        <v>0</v>
      </c>
      <c r="K366" s="914">
        <f t="shared" si="53"/>
        <v>0</v>
      </c>
      <c r="L366" s="914">
        <f t="shared" si="53"/>
        <v>3500</v>
      </c>
      <c r="M366" s="914">
        <f t="shared" si="53"/>
        <v>3500</v>
      </c>
    </row>
    <row r="367" spans="1:13" s="77" customFormat="1" ht="27" customHeight="1">
      <c r="A367" s="916"/>
      <c r="B367" s="465"/>
      <c r="C367" s="1213" t="s">
        <v>602</v>
      </c>
      <c r="D367" s="917"/>
      <c r="E367" s="781" t="s">
        <v>789</v>
      </c>
      <c r="F367" s="310">
        <f>F368</f>
        <v>0</v>
      </c>
      <c r="G367" s="461">
        <f t="shared" si="53"/>
        <v>0</v>
      </c>
      <c r="H367" s="310">
        <f t="shared" si="53"/>
        <v>0</v>
      </c>
      <c r="I367" s="310">
        <f t="shared" si="53"/>
        <v>0</v>
      </c>
      <c r="J367" s="310">
        <f t="shared" si="53"/>
        <v>0</v>
      </c>
      <c r="K367" s="310">
        <f t="shared" si="53"/>
        <v>0</v>
      </c>
      <c r="L367" s="310">
        <f t="shared" si="53"/>
        <v>3500</v>
      </c>
      <c r="M367" s="310">
        <f t="shared" si="53"/>
        <v>3500</v>
      </c>
    </row>
    <row r="368" spans="1:13" s="75" customFormat="1" ht="30.75" customHeight="1">
      <c r="A368" s="885"/>
      <c r="B368" s="483"/>
      <c r="C368" s="1213" t="s">
        <v>682</v>
      </c>
      <c r="D368" s="917"/>
      <c r="E368" s="883" t="s">
        <v>572</v>
      </c>
      <c r="F368" s="651"/>
      <c r="G368" s="883"/>
      <c r="H368" s="884"/>
      <c r="I368" s="884"/>
      <c r="J368" s="884"/>
      <c r="K368" s="186"/>
      <c r="L368" s="185">
        <v>3500</v>
      </c>
      <c r="M368" s="918">
        <f>L368</f>
        <v>3500</v>
      </c>
    </row>
    <row r="369" spans="1:13" s="80" customFormat="1" ht="39" customHeight="1">
      <c r="A369" s="885"/>
      <c r="B369" s="886">
        <v>80146</v>
      </c>
      <c r="C369" s="1212"/>
      <c r="D369" s="912"/>
      <c r="E369" s="913" t="s">
        <v>790</v>
      </c>
      <c r="F369" s="914">
        <f aca="true" t="shared" si="54" ref="F369:K369">F370</f>
        <v>0</v>
      </c>
      <c r="G369" s="914">
        <f t="shared" si="54"/>
        <v>0</v>
      </c>
      <c r="H369" s="914">
        <f t="shared" si="54"/>
        <v>0</v>
      </c>
      <c r="I369" s="914">
        <f t="shared" si="54"/>
        <v>0</v>
      </c>
      <c r="J369" s="914">
        <f t="shared" si="54"/>
        <v>0</v>
      </c>
      <c r="K369" s="914">
        <f t="shared" si="54"/>
        <v>0</v>
      </c>
      <c r="L369" s="919">
        <f>L370+L377</f>
        <v>76871</v>
      </c>
      <c r="M369" s="920">
        <f>M370+M377</f>
        <v>76871</v>
      </c>
    </row>
    <row r="370" spans="1:13" s="75" customFormat="1" ht="49.5" customHeight="1">
      <c r="A370" s="916"/>
      <c r="B370" s="465"/>
      <c r="C370" s="1213" t="s">
        <v>602</v>
      </c>
      <c r="D370" s="917"/>
      <c r="E370" s="921" t="s">
        <v>1016</v>
      </c>
      <c r="F370" s="310">
        <f aca="true" t="shared" si="55" ref="F370:M370">SUM(F371:F376)</f>
        <v>0</v>
      </c>
      <c r="G370" s="310">
        <f t="shared" si="55"/>
        <v>0</v>
      </c>
      <c r="H370" s="310">
        <f t="shared" si="55"/>
        <v>0</v>
      </c>
      <c r="I370" s="310">
        <f t="shared" si="55"/>
        <v>0</v>
      </c>
      <c r="J370" s="310">
        <f t="shared" si="55"/>
        <v>0</v>
      </c>
      <c r="K370" s="310">
        <f t="shared" si="55"/>
        <v>0</v>
      </c>
      <c r="L370" s="922">
        <f t="shared" si="55"/>
        <v>65000</v>
      </c>
      <c r="M370" s="923">
        <f t="shared" si="55"/>
        <v>65000</v>
      </c>
    </row>
    <row r="371" spans="1:13" s="75" customFormat="1" ht="49.5" customHeight="1">
      <c r="A371" s="885"/>
      <c r="B371" s="465"/>
      <c r="C371" s="1208" t="s">
        <v>682</v>
      </c>
      <c r="D371" s="890"/>
      <c r="E371" s="891" t="s">
        <v>44</v>
      </c>
      <c r="F371" s="892"/>
      <c r="G371" s="891"/>
      <c r="H371" s="893"/>
      <c r="I371" s="893"/>
      <c r="J371" s="893"/>
      <c r="K371" s="477"/>
      <c r="L371" s="699">
        <v>14000</v>
      </c>
      <c r="M371" s="479">
        <f>K371+L371</f>
        <v>14000</v>
      </c>
    </row>
    <row r="372" spans="1:13" s="80" customFormat="1" ht="49.5" customHeight="1">
      <c r="A372" s="885"/>
      <c r="B372" s="465"/>
      <c r="C372" s="1209" t="s">
        <v>700</v>
      </c>
      <c r="D372" s="894"/>
      <c r="E372" s="895" t="s">
        <v>780</v>
      </c>
      <c r="F372" s="896"/>
      <c r="G372" s="895"/>
      <c r="H372" s="897"/>
      <c r="I372" s="897"/>
      <c r="J372" s="897"/>
      <c r="K372" s="470"/>
      <c r="L372" s="202">
        <v>18500</v>
      </c>
      <c r="M372" s="200">
        <f>K372+L372</f>
        <v>18500</v>
      </c>
    </row>
    <row r="373" spans="1:13" s="75" customFormat="1" ht="49.5" customHeight="1">
      <c r="A373" s="885"/>
      <c r="B373" s="465"/>
      <c r="C373" s="1209" t="s">
        <v>701</v>
      </c>
      <c r="D373" s="894"/>
      <c r="E373" s="895" t="s">
        <v>777</v>
      </c>
      <c r="F373" s="896"/>
      <c r="G373" s="895"/>
      <c r="H373" s="897"/>
      <c r="I373" s="897"/>
      <c r="J373" s="897"/>
      <c r="K373" s="470"/>
      <c r="L373" s="202">
        <v>14000</v>
      </c>
      <c r="M373" s="200">
        <f>K373+L373</f>
        <v>14000</v>
      </c>
    </row>
    <row r="374" spans="1:13" s="75" customFormat="1" ht="49.5" customHeight="1">
      <c r="A374" s="885"/>
      <c r="B374" s="465"/>
      <c r="C374" s="1209" t="s">
        <v>702</v>
      </c>
      <c r="D374" s="894"/>
      <c r="E374" s="895" t="s">
        <v>781</v>
      </c>
      <c r="F374" s="896"/>
      <c r="G374" s="895"/>
      <c r="H374" s="897"/>
      <c r="I374" s="897"/>
      <c r="J374" s="897"/>
      <c r="K374" s="470"/>
      <c r="L374" s="202">
        <v>14000</v>
      </c>
      <c r="M374" s="200">
        <f>L374+K374</f>
        <v>14000</v>
      </c>
    </row>
    <row r="375" spans="1:13" s="75" customFormat="1" ht="49.5" customHeight="1">
      <c r="A375" s="885"/>
      <c r="B375" s="465"/>
      <c r="C375" s="1209" t="s">
        <v>703</v>
      </c>
      <c r="D375" s="894"/>
      <c r="E375" s="895" t="s">
        <v>32</v>
      </c>
      <c r="F375" s="896"/>
      <c r="G375" s="895"/>
      <c r="H375" s="897"/>
      <c r="I375" s="897"/>
      <c r="J375" s="897"/>
      <c r="K375" s="470"/>
      <c r="L375" s="202">
        <f>2590-444</f>
        <v>2146</v>
      </c>
      <c r="M375" s="200">
        <f>L375</f>
        <v>2146</v>
      </c>
    </row>
    <row r="376" spans="1:13" s="75" customFormat="1" ht="49.5" customHeight="1">
      <c r="A376" s="885"/>
      <c r="B376" s="465"/>
      <c r="C376" s="1214" t="s">
        <v>704</v>
      </c>
      <c r="D376" s="924"/>
      <c r="E376" s="925" t="s">
        <v>33</v>
      </c>
      <c r="F376" s="926"/>
      <c r="G376" s="925"/>
      <c r="H376" s="927"/>
      <c r="I376" s="927"/>
      <c r="J376" s="927"/>
      <c r="K376" s="928"/>
      <c r="L376" s="929">
        <f>2798-444</f>
        <v>2354</v>
      </c>
      <c r="M376" s="930">
        <f>L376</f>
        <v>2354</v>
      </c>
    </row>
    <row r="377" spans="1:13" s="75" customFormat="1" ht="49.5" customHeight="1">
      <c r="A377" s="774"/>
      <c r="B377" s="465"/>
      <c r="C377" s="1213" t="s">
        <v>121</v>
      </c>
      <c r="D377" s="917"/>
      <c r="E377" s="921" t="s">
        <v>747</v>
      </c>
      <c r="F377" s="310">
        <f>F378+F379+F380+F381</f>
        <v>0</v>
      </c>
      <c r="G377" s="310">
        <f aca="true" t="shared" si="56" ref="G377:M377">G378+G379+G380+G381</f>
        <v>0</v>
      </c>
      <c r="H377" s="310">
        <f t="shared" si="56"/>
        <v>0</v>
      </c>
      <c r="I377" s="310">
        <f t="shared" si="56"/>
        <v>0</v>
      </c>
      <c r="J377" s="310">
        <f t="shared" si="56"/>
        <v>0</v>
      </c>
      <c r="K377" s="310">
        <f t="shared" si="56"/>
        <v>0</v>
      </c>
      <c r="L377" s="310">
        <f t="shared" si="56"/>
        <v>11871</v>
      </c>
      <c r="M377" s="310">
        <f t="shared" si="56"/>
        <v>11871</v>
      </c>
    </row>
    <row r="378" spans="1:13" s="75" customFormat="1" ht="49.5" customHeight="1">
      <c r="A378" s="885"/>
      <c r="B378" s="465"/>
      <c r="C378" s="1215" t="s">
        <v>682</v>
      </c>
      <c r="D378" s="931"/>
      <c r="E378" s="932" t="s">
        <v>748</v>
      </c>
      <c r="F378" s="933"/>
      <c r="G378" s="932"/>
      <c r="H378" s="934"/>
      <c r="I378" s="934"/>
      <c r="J378" s="934"/>
      <c r="K378" s="935"/>
      <c r="L378" s="194">
        <v>2707</v>
      </c>
      <c r="M378" s="195">
        <f>L378</f>
        <v>2707</v>
      </c>
    </row>
    <row r="379" spans="1:13" s="76" customFormat="1" ht="49.5" customHeight="1">
      <c r="A379" s="885"/>
      <c r="B379" s="465"/>
      <c r="C379" s="1215" t="s">
        <v>700</v>
      </c>
      <c r="D379" s="931"/>
      <c r="E379" s="932" t="s">
        <v>750</v>
      </c>
      <c r="F379" s="933"/>
      <c r="G379" s="932"/>
      <c r="H379" s="934"/>
      <c r="I379" s="934"/>
      <c r="J379" s="934"/>
      <c r="K379" s="935"/>
      <c r="L379" s="194">
        <v>3228</v>
      </c>
      <c r="M379" s="195">
        <f>L379</f>
        <v>3228</v>
      </c>
    </row>
    <row r="380" spans="1:13" s="75" customFormat="1" ht="49.5" customHeight="1">
      <c r="A380" s="885"/>
      <c r="B380" s="465"/>
      <c r="C380" s="1216" t="s">
        <v>701</v>
      </c>
      <c r="D380" s="936"/>
      <c r="E380" s="937" t="s">
        <v>751</v>
      </c>
      <c r="F380" s="938"/>
      <c r="G380" s="937"/>
      <c r="H380" s="939"/>
      <c r="I380" s="939"/>
      <c r="J380" s="939"/>
      <c r="K380" s="940"/>
      <c r="L380" s="941">
        <v>2966</v>
      </c>
      <c r="M380" s="942">
        <f>L380</f>
        <v>2966</v>
      </c>
    </row>
    <row r="381" spans="1:13" s="75" customFormat="1" ht="49.5" customHeight="1">
      <c r="A381" s="885"/>
      <c r="B381" s="465"/>
      <c r="C381" s="1217" t="s">
        <v>702</v>
      </c>
      <c r="D381" s="943"/>
      <c r="E381" s="361" t="s">
        <v>752</v>
      </c>
      <c r="F381" s="944"/>
      <c r="G381" s="361"/>
      <c r="H381" s="360"/>
      <c r="I381" s="360"/>
      <c r="J381" s="360"/>
      <c r="K381" s="470"/>
      <c r="L381" s="202">
        <v>2970</v>
      </c>
      <c r="M381" s="200">
        <f>L381</f>
        <v>2970</v>
      </c>
    </row>
    <row r="382" spans="1:13" s="4" customFormat="1" ht="41.25" customHeight="1">
      <c r="A382" s="173"/>
      <c r="B382" s="886">
        <v>80195</v>
      </c>
      <c r="C382" s="1218"/>
      <c r="D382" s="455"/>
      <c r="E382" s="403" t="s">
        <v>24</v>
      </c>
      <c r="F382" s="456">
        <f>+F383+F384+F391+F395</f>
        <v>0</v>
      </c>
      <c r="G382" s="456">
        <f aca="true" t="shared" si="57" ref="G382:L382">+G383+G384+G391+G395</f>
        <v>0</v>
      </c>
      <c r="H382" s="456">
        <f t="shared" si="57"/>
        <v>0</v>
      </c>
      <c r="I382" s="456">
        <f t="shared" si="57"/>
        <v>0</v>
      </c>
      <c r="J382" s="456">
        <f t="shared" si="57"/>
        <v>0</v>
      </c>
      <c r="K382" s="456">
        <f t="shared" si="57"/>
        <v>0</v>
      </c>
      <c r="L382" s="456">
        <f t="shared" si="57"/>
        <v>152236</v>
      </c>
      <c r="M382" s="456">
        <f>+M383+M384+M391+M395</f>
        <v>152236</v>
      </c>
    </row>
    <row r="383" spans="1:13" s="2" customFormat="1" ht="61.5" customHeight="1">
      <c r="A383" s="173"/>
      <c r="B383" s="357"/>
      <c r="C383" s="1193">
        <v>1</v>
      </c>
      <c r="D383" s="757"/>
      <c r="E383" s="563" t="s">
        <v>722</v>
      </c>
      <c r="F383" s="952"/>
      <c r="G383" s="766"/>
      <c r="H383" s="767"/>
      <c r="I383" s="767"/>
      <c r="J383" s="767"/>
      <c r="K383" s="768"/>
      <c r="L383" s="769">
        <v>30000</v>
      </c>
      <c r="M383" s="773">
        <f>L383</f>
        <v>30000</v>
      </c>
    </row>
    <row r="384" spans="1:13" s="2" customFormat="1" ht="34.5" customHeight="1">
      <c r="A384" s="173"/>
      <c r="B384" s="357"/>
      <c r="C384" s="1193">
        <v>2</v>
      </c>
      <c r="D384" s="757"/>
      <c r="E384" s="563" t="s">
        <v>574</v>
      </c>
      <c r="F384" s="952"/>
      <c r="G384" s="766"/>
      <c r="H384" s="767"/>
      <c r="I384" s="767"/>
      <c r="J384" s="767"/>
      <c r="K384" s="768"/>
      <c r="L384" s="769">
        <f>SUM(L385:L390)</f>
        <v>62236</v>
      </c>
      <c r="M384" s="773">
        <f>L384</f>
        <v>62236</v>
      </c>
    </row>
    <row r="385" spans="1:13" s="92" customFormat="1" ht="27" customHeight="1">
      <c r="A385" s="953"/>
      <c r="B385" s="797"/>
      <c r="C385" s="1213"/>
      <c r="D385" s="954" t="s">
        <v>705</v>
      </c>
      <c r="E385" s="787" t="s">
        <v>44</v>
      </c>
      <c r="F385" s="786"/>
      <c r="G385" s="787"/>
      <c r="H385" s="788"/>
      <c r="I385" s="788"/>
      <c r="J385" s="788"/>
      <c r="K385" s="794"/>
      <c r="L385" s="804">
        <v>15617</v>
      </c>
      <c r="M385" s="805">
        <f>K385+L385</f>
        <v>15617</v>
      </c>
    </row>
    <row r="386" spans="1:13" s="93" customFormat="1" ht="27.75" customHeight="1">
      <c r="A386" s="953"/>
      <c r="B386" s="797"/>
      <c r="C386" s="1220"/>
      <c r="D386" s="954" t="s">
        <v>705</v>
      </c>
      <c r="E386" s="787" t="s">
        <v>780</v>
      </c>
      <c r="F386" s="786"/>
      <c r="G386" s="787"/>
      <c r="H386" s="788"/>
      <c r="I386" s="788"/>
      <c r="J386" s="788"/>
      <c r="K386" s="794"/>
      <c r="L386" s="804">
        <v>32000</v>
      </c>
      <c r="M386" s="805">
        <f>K386+L386</f>
        <v>32000</v>
      </c>
    </row>
    <row r="387" spans="1:13" s="92" customFormat="1" ht="25.5" customHeight="1">
      <c r="A387" s="953"/>
      <c r="B387" s="797"/>
      <c r="C387" s="1220"/>
      <c r="D387" s="954" t="s">
        <v>705</v>
      </c>
      <c r="E387" s="787" t="s">
        <v>777</v>
      </c>
      <c r="F387" s="786"/>
      <c r="G387" s="787"/>
      <c r="H387" s="788"/>
      <c r="I387" s="788"/>
      <c r="J387" s="788"/>
      <c r="K387" s="794"/>
      <c r="L387" s="804">
        <v>5596</v>
      </c>
      <c r="M387" s="805">
        <f>K387+L387</f>
        <v>5596</v>
      </c>
    </row>
    <row r="388" spans="1:13" s="92" customFormat="1" ht="25.5" customHeight="1">
      <c r="A388" s="953"/>
      <c r="B388" s="797"/>
      <c r="C388" s="1220"/>
      <c r="D388" s="954" t="s">
        <v>705</v>
      </c>
      <c r="E388" s="787" t="s">
        <v>781</v>
      </c>
      <c r="F388" s="786"/>
      <c r="G388" s="787"/>
      <c r="H388" s="788"/>
      <c r="I388" s="788"/>
      <c r="J388" s="788"/>
      <c r="K388" s="794"/>
      <c r="L388" s="804">
        <v>6123</v>
      </c>
      <c r="M388" s="805">
        <f>L388+K388</f>
        <v>6123</v>
      </c>
    </row>
    <row r="389" spans="1:13" s="92" customFormat="1" ht="27.75" customHeight="1">
      <c r="A389" s="953"/>
      <c r="B389" s="797"/>
      <c r="C389" s="1220"/>
      <c r="D389" s="954" t="s">
        <v>705</v>
      </c>
      <c r="E389" s="787" t="s">
        <v>32</v>
      </c>
      <c r="F389" s="786"/>
      <c r="G389" s="787"/>
      <c r="H389" s="788"/>
      <c r="I389" s="788"/>
      <c r="J389" s="788"/>
      <c r="K389" s="794"/>
      <c r="L389" s="804">
        <v>2000</v>
      </c>
      <c r="M389" s="805">
        <f>L389</f>
        <v>2000</v>
      </c>
    </row>
    <row r="390" spans="1:13" s="92" customFormat="1" ht="27" customHeight="1">
      <c r="A390" s="953"/>
      <c r="B390" s="797"/>
      <c r="C390" s="1220"/>
      <c r="D390" s="954" t="s">
        <v>705</v>
      </c>
      <c r="E390" s="787" t="s">
        <v>33</v>
      </c>
      <c r="F390" s="786"/>
      <c r="G390" s="787"/>
      <c r="H390" s="788"/>
      <c r="I390" s="788"/>
      <c r="J390" s="788"/>
      <c r="K390" s="794"/>
      <c r="L390" s="804">
        <v>900</v>
      </c>
      <c r="M390" s="805">
        <f>L390</f>
        <v>900</v>
      </c>
    </row>
    <row r="391" spans="1:13" s="2" customFormat="1" ht="34.5" customHeight="1">
      <c r="A391" s="173"/>
      <c r="B391" s="357"/>
      <c r="C391" s="1221">
        <v>3</v>
      </c>
      <c r="D391" s="757"/>
      <c r="E391" s="563" t="s">
        <v>575</v>
      </c>
      <c r="F391" s="952"/>
      <c r="G391" s="766"/>
      <c r="H391" s="767"/>
      <c r="I391" s="767"/>
      <c r="J391" s="767"/>
      <c r="K391" s="768"/>
      <c r="L391" s="769">
        <v>30000</v>
      </c>
      <c r="M391" s="773">
        <f>SUM(F391:L391)</f>
        <v>30000</v>
      </c>
    </row>
    <row r="392" spans="1:13" s="5" customFormat="1" ht="21" customHeight="1">
      <c r="A392" s="364"/>
      <c r="B392" s="365"/>
      <c r="C392" s="1206"/>
      <c r="D392" s="258"/>
      <c r="E392" s="259" t="s">
        <v>706</v>
      </c>
      <c r="F392" s="260"/>
      <c r="G392" s="955"/>
      <c r="H392" s="411"/>
      <c r="I392" s="411"/>
      <c r="J392" s="411"/>
      <c r="K392" s="819"/>
      <c r="L392" s="804"/>
      <c r="M392" s="805"/>
    </row>
    <row r="393" spans="1:13" s="92" customFormat="1" ht="27" customHeight="1">
      <c r="A393" s="953"/>
      <c r="B393" s="797"/>
      <c r="C393" s="1213"/>
      <c r="D393" s="954" t="s">
        <v>705</v>
      </c>
      <c r="E393" s="787" t="s">
        <v>44</v>
      </c>
      <c r="F393" s="786"/>
      <c r="G393" s="787"/>
      <c r="H393" s="788"/>
      <c r="I393" s="788"/>
      <c r="J393" s="788"/>
      <c r="K393" s="794"/>
      <c r="L393" s="804">
        <v>100</v>
      </c>
      <c r="M393" s="805">
        <f>SUM(F393:L393)</f>
        <v>100</v>
      </c>
    </row>
    <row r="394" spans="1:13" s="92" customFormat="1" ht="27" customHeight="1">
      <c r="A394" s="953"/>
      <c r="B394" s="797"/>
      <c r="C394" s="1213"/>
      <c r="D394" s="954" t="s">
        <v>705</v>
      </c>
      <c r="E394" s="787" t="s">
        <v>780</v>
      </c>
      <c r="F394" s="786"/>
      <c r="G394" s="787"/>
      <c r="H394" s="788"/>
      <c r="I394" s="788"/>
      <c r="J394" s="788"/>
      <c r="K394" s="794"/>
      <c r="L394" s="804">
        <v>2100</v>
      </c>
      <c r="M394" s="805">
        <f>SUM(F394:L394)</f>
        <v>2100</v>
      </c>
    </row>
    <row r="395" spans="1:13" s="2" customFormat="1" ht="34.5" customHeight="1">
      <c r="A395" s="173"/>
      <c r="B395" s="357"/>
      <c r="C395" s="1221">
        <v>4</v>
      </c>
      <c r="D395" s="757"/>
      <c r="E395" s="563" t="s">
        <v>576</v>
      </c>
      <c r="F395" s="952"/>
      <c r="G395" s="766"/>
      <c r="H395" s="767"/>
      <c r="I395" s="767"/>
      <c r="J395" s="767"/>
      <c r="K395" s="768"/>
      <c r="L395" s="769">
        <v>30000</v>
      </c>
      <c r="M395" s="773">
        <f>SUM(F395:L395)</f>
        <v>30000</v>
      </c>
    </row>
    <row r="396" spans="1:13" s="51" customFormat="1" ht="43.5" customHeight="1">
      <c r="A396" s="956">
        <v>14</v>
      </c>
      <c r="B396" s="957">
        <v>851</v>
      </c>
      <c r="C396" s="1222"/>
      <c r="D396" s="958"/>
      <c r="E396" s="959" t="s">
        <v>36</v>
      </c>
      <c r="F396" s="960">
        <f>F397+F400</f>
        <v>0</v>
      </c>
      <c r="G396" s="960">
        <f aca="true" t="shared" si="58" ref="G396:M396">G397+G400</f>
        <v>0</v>
      </c>
      <c r="H396" s="960">
        <f t="shared" si="58"/>
        <v>0</v>
      </c>
      <c r="I396" s="960">
        <f t="shared" si="58"/>
        <v>0</v>
      </c>
      <c r="J396" s="960">
        <f t="shared" si="58"/>
        <v>0</v>
      </c>
      <c r="K396" s="960">
        <f t="shared" si="58"/>
        <v>0</v>
      </c>
      <c r="L396" s="960">
        <f t="shared" si="58"/>
        <v>250000</v>
      </c>
      <c r="M396" s="960">
        <f t="shared" si="58"/>
        <v>250000</v>
      </c>
    </row>
    <row r="397" spans="1:13" s="38" customFormat="1" ht="44.25" customHeight="1">
      <c r="A397" s="400"/>
      <c r="B397" s="327">
        <v>85153</v>
      </c>
      <c r="C397" s="1160"/>
      <c r="D397" s="328"/>
      <c r="E397" s="329" t="s">
        <v>792</v>
      </c>
      <c r="F397" s="330">
        <f>F398+F399</f>
        <v>0</v>
      </c>
      <c r="G397" s="331">
        <f aca="true" t="shared" si="59" ref="G397:M397">G398+G399</f>
        <v>0</v>
      </c>
      <c r="H397" s="331">
        <f t="shared" si="59"/>
        <v>0</v>
      </c>
      <c r="I397" s="331">
        <f t="shared" si="59"/>
        <v>0</v>
      </c>
      <c r="J397" s="331">
        <f t="shared" si="59"/>
        <v>0</v>
      </c>
      <c r="K397" s="331">
        <f t="shared" si="59"/>
        <v>0</v>
      </c>
      <c r="L397" s="331">
        <f t="shared" si="59"/>
        <v>22000</v>
      </c>
      <c r="M397" s="331">
        <f t="shared" si="59"/>
        <v>22000</v>
      </c>
    </row>
    <row r="398" spans="1:13" s="46" customFormat="1" ht="39.75" customHeight="1">
      <c r="A398" s="400"/>
      <c r="B398" s="316"/>
      <c r="C398" s="1157">
        <v>1</v>
      </c>
      <c r="D398" s="437"/>
      <c r="E398" s="961" t="s">
        <v>793</v>
      </c>
      <c r="F398" s="962"/>
      <c r="G398" s="963"/>
      <c r="H398" s="964"/>
      <c r="I398" s="964"/>
      <c r="J398" s="962"/>
      <c r="K398" s="962"/>
      <c r="L398" s="965">
        <v>4000</v>
      </c>
      <c r="M398" s="966">
        <f>SUM(F398:L398)</f>
        <v>4000</v>
      </c>
    </row>
    <row r="399" spans="1:13" s="47" customFormat="1" ht="97.5" customHeight="1">
      <c r="A399" s="400"/>
      <c r="B399" s="967"/>
      <c r="C399" s="1158">
        <v>2</v>
      </c>
      <c r="D399" s="968"/>
      <c r="E399" s="969" t="s">
        <v>151</v>
      </c>
      <c r="F399" s="970"/>
      <c r="G399" s="971"/>
      <c r="H399" s="972"/>
      <c r="I399" s="972"/>
      <c r="J399" s="970"/>
      <c r="K399" s="970"/>
      <c r="L399" s="973">
        <v>18000</v>
      </c>
      <c r="M399" s="983">
        <f>SUM(F399:L399)</f>
        <v>18000</v>
      </c>
    </row>
    <row r="400" spans="1:13" s="38" customFormat="1" ht="45" customHeight="1">
      <c r="A400" s="400"/>
      <c r="B400" s="327">
        <v>85154</v>
      </c>
      <c r="C400" s="1160"/>
      <c r="D400" s="328"/>
      <c r="E400" s="329" t="s">
        <v>1051</v>
      </c>
      <c r="F400" s="330">
        <f aca="true" t="shared" si="60" ref="F400:M400">SUM(F401:F412)</f>
        <v>0</v>
      </c>
      <c r="G400" s="330">
        <f t="shared" si="60"/>
        <v>0</v>
      </c>
      <c r="H400" s="330">
        <f t="shared" si="60"/>
        <v>0</v>
      </c>
      <c r="I400" s="330">
        <f t="shared" si="60"/>
        <v>0</v>
      </c>
      <c r="J400" s="330">
        <f t="shared" si="60"/>
        <v>0</v>
      </c>
      <c r="K400" s="330">
        <f t="shared" si="60"/>
        <v>0</v>
      </c>
      <c r="L400" s="330">
        <f t="shared" si="60"/>
        <v>228000</v>
      </c>
      <c r="M400" s="330">
        <f t="shared" si="60"/>
        <v>228000</v>
      </c>
    </row>
    <row r="401" spans="1:13" s="28" customFormat="1" ht="27.75" customHeight="1">
      <c r="A401" s="975"/>
      <c r="B401" s="976"/>
      <c r="C401" s="1157">
        <v>1</v>
      </c>
      <c r="D401" s="977"/>
      <c r="E401" s="977" t="s">
        <v>38</v>
      </c>
      <c r="F401" s="339"/>
      <c r="G401" s="978"/>
      <c r="H401" s="979"/>
      <c r="I401" s="979"/>
      <c r="J401" s="339"/>
      <c r="K401" s="339"/>
      <c r="L401" s="965">
        <v>26500</v>
      </c>
      <c r="M401" s="966">
        <f>SUM(F401:L401)</f>
        <v>26500</v>
      </c>
    </row>
    <row r="402" spans="1:13" s="115" customFormat="1" ht="30" customHeight="1">
      <c r="A402" s="975"/>
      <c r="B402" s="976"/>
      <c r="C402" s="1153">
        <v>2</v>
      </c>
      <c r="D402" s="222"/>
      <c r="E402" s="222" t="s">
        <v>39</v>
      </c>
      <c r="F402" s="224"/>
      <c r="G402" s="980"/>
      <c r="H402" s="981"/>
      <c r="I402" s="981"/>
      <c r="J402" s="224"/>
      <c r="K402" s="224"/>
      <c r="L402" s="982">
        <v>3000</v>
      </c>
      <c r="M402" s="983">
        <f>SUM(F402:L402)</f>
        <v>3000</v>
      </c>
    </row>
    <row r="403" spans="1:13" s="115" customFormat="1" ht="63" customHeight="1">
      <c r="A403" s="975"/>
      <c r="B403" s="976"/>
      <c r="C403" s="1153">
        <v>3</v>
      </c>
      <c r="D403" s="222"/>
      <c r="E403" s="984" t="s">
        <v>40</v>
      </c>
      <c r="F403" s="224"/>
      <c r="G403" s="980"/>
      <c r="H403" s="981"/>
      <c r="I403" s="981"/>
      <c r="J403" s="224"/>
      <c r="K403" s="224"/>
      <c r="L403" s="982">
        <v>1000</v>
      </c>
      <c r="M403" s="983">
        <f aca="true" t="shared" si="61" ref="M403:M412">SUM(F403:L403)</f>
        <v>1000</v>
      </c>
    </row>
    <row r="404" spans="1:13" s="115" customFormat="1" ht="45" customHeight="1">
      <c r="A404" s="975"/>
      <c r="B404" s="976"/>
      <c r="C404" s="1153">
        <v>4</v>
      </c>
      <c r="D404" s="222"/>
      <c r="E404" s="222" t="s">
        <v>794</v>
      </c>
      <c r="F404" s="224"/>
      <c r="G404" s="980"/>
      <c r="H404" s="981"/>
      <c r="I404" s="981"/>
      <c r="J404" s="224"/>
      <c r="K404" s="224"/>
      <c r="L404" s="982">
        <v>1000</v>
      </c>
      <c r="M404" s="983">
        <f t="shared" si="61"/>
        <v>1000</v>
      </c>
    </row>
    <row r="405" spans="1:13" s="115" customFormat="1" ht="104.25" customHeight="1">
      <c r="A405" s="975"/>
      <c r="B405" s="976"/>
      <c r="C405" s="1153">
        <v>5</v>
      </c>
      <c r="D405" s="222"/>
      <c r="E405" s="223" t="s">
        <v>648</v>
      </c>
      <c r="F405" s="224"/>
      <c r="G405" s="980"/>
      <c r="H405" s="981"/>
      <c r="I405" s="981"/>
      <c r="J405" s="224"/>
      <c r="K405" s="224"/>
      <c r="L405" s="982">
        <v>68000</v>
      </c>
      <c r="M405" s="983">
        <f t="shared" si="61"/>
        <v>68000</v>
      </c>
    </row>
    <row r="406" spans="1:13" s="115" customFormat="1" ht="101.25" customHeight="1">
      <c r="A406" s="975"/>
      <c r="B406" s="976"/>
      <c r="C406" s="1153">
        <v>6</v>
      </c>
      <c r="D406" s="222"/>
      <c r="E406" s="223" t="s">
        <v>795</v>
      </c>
      <c r="F406" s="224"/>
      <c r="G406" s="980"/>
      <c r="H406" s="981"/>
      <c r="I406" s="981"/>
      <c r="J406" s="224"/>
      <c r="K406" s="224"/>
      <c r="L406" s="982">
        <v>4000</v>
      </c>
      <c r="M406" s="983">
        <f t="shared" si="61"/>
        <v>4000</v>
      </c>
    </row>
    <row r="407" spans="1:13" s="115" customFormat="1" ht="36" customHeight="1">
      <c r="A407" s="975"/>
      <c r="B407" s="976"/>
      <c r="C407" s="1153">
        <v>7</v>
      </c>
      <c r="D407" s="222"/>
      <c r="E407" s="222" t="s">
        <v>41</v>
      </c>
      <c r="F407" s="224"/>
      <c r="G407" s="980"/>
      <c r="H407" s="981"/>
      <c r="I407" s="981"/>
      <c r="J407" s="224"/>
      <c r="K407" s="224"/>
      <c r="L407" s="982">
        <v>1000</v>
      </c>
      <c r="M407" s="983">
        <f t="shared" si="61"/>
        <v>1000</v>
      </c>
    </row>
    <row r="408" spans="1:13" s="115" customFormat="1" ht="33" customHeight="1">
      <c r="A408" s="975"/>
      <c r="B408" s="976"/>
      <c r="C408" s="1153">
        <v>8</v>
      </c>
      <c r="D408" s="222"/>
      <c r="E408" s="223" t="s">
        <v>42</v>
      </c>
      <c r="F408" s="224"/>
      <c r="G408" s="980"/>
      <c r="H408" s="981"/>
      <c r="I408" s="981"/>
      <c r="J408" s="224"/>
      <c r="K408" s="224"/>
      <c r="L408" s="982">
        <v>25000</v>
      </c>
      <c r="M408" s="983">
        <f t="shared" si="61"/>
        <v>25000</v>
      </c>
    </row>
    <row r="409" spans="1:13" s="115" customFormat="1" ht="81" customHeight="1">
      <c r="A409" s="975"/>
      <c r="B409" s="976"/>
      <c r="C409" s="1153">
        <v>9</v>
      </c>
      <c r="D409" s="222"/>
      <c r="E409" s="223" t="s">
        <v>723</v>
      </c>
      <c r="F409" s="224"/>
      <c r="G409" s="980"/>
      <c r="H409" s="981"/>
      <c r="I409" s="981"/>
      <c r="J409" s="224"/>
      <c r="K409" s="224"/>
      <c r="L409" s="982">
        <v>86000</v>
      </c>
      <c r="M409" s="983">
        <f t="shared" si="61"/>
        <v>86000</v>
      </c>
    </row>
    <row r="410" spans="1:13" s="115" customFormat="1" ht="81" customHeight="1">
      <c r="A410" s="975"/>
      <c r="B410" s="976"/>
      <c r="C410" s="1153">
        <v>10</v>
      </c>
      <c r="D410" s="222"/>
      <c r="E410" s="223" t="s">
        <v>563</v>
      </c>
      <c r="F410" s="224"/>
      <c r="G410" s="980"/>
      <c r="H410" s="981"/>
      <c r="I410" s="981"/>
      <c r="J410" s="224"/>
      <c r="K410" s="224"/>
      <c r="L410" s="982">
        <v>10000</v>
      </c>
      <c r="M410" s="983">
        <f t="shared" si="61"/>
        <v>10000</v>
      </c>
    </row>
    <row r="411" spans="1:13" s="28" customFormat="1" ht="67.5" customHeight="1">
      <c r="A411" s="975"/>
      <c r="B411" s="976"/>
      <c r="C411" s="1153">
        <v>11</v>
      </c>
      <c r="D411" s="222"/>
      <c r="E411" s="223" t="s">
        <v>98</v>
      </c>
      <c r="F411" s="224"/>
      <c r="G411" s="980"/>
      <c r="H411" s="981"/>
      <c r="I411" s="981"/>
      <c r="J411" s="224"/>
      <c r="K411" s="224"/>
      <c r="L411" s="982">
        <v>1000</v>
      </c>
      <c r="M411" s="983">
        <f t="shared" si="61"/>
        <v>1000</v>
      </c>
    </row>
    <row r="412" spans="1:13" s="115" customFormat="1" ht="106.5" customHeight="1">
      <c r="A412" s="975"/>
      <c r="B412" s="976"/>
      <c r="C412" s="1157">
        <v>12</v>
      </c>
      <c r="D412" s="977"/>
      <c r="E412" s="422" t="s">
        <v>744</v>
      </c>
      <c r="F412" s="985"/>
      <c r="G412" s="986"/>
      <c r="H412" s="987"/>
      <c r="I412" s="987"/>
      <c r="J412" s="985"/>
      <c r="K412" s="985"/>
      <c r="L412" s="988">
        <v>1500</v>
      </c>
      <c r="M412" s="983">
        <f t="shared" si="61"/>
        <v>1500</v>
      </c>
    </row>
    <row r="413" spans="1:13" s="51" customFormat="1" ht="47.25" customHeight="1">
      <c r="A413" s="1000">
        <v>15</v>
      </c>
      <c r="B413" s="957">
        <v>852</v>
      </c>
      <c r="C413" s="1222"/>
      <c r="D413" s="958"/>
      <c r="E413" s="959" t="s">
        <v>35</v>
      </c>
      <c r="F413" s="960">
        <f aca="true" t="shared" si="62" ref="F413:M413">F414+F416+F418+F420+F427+F429+F432</f>
        <v>6424000</v>
      </c>
      <c r="G413" s="960">
        <f t="shared" si="62"/>
        <v>0</v>
      </c>
      <c r="H413" s="960">
        <f t="shared" si="62"/>
        <v>0</v>
      </c>
      <c r="I413" s="960">
        <f t="shared" si="62"/>
        <v>0</v>
      </c>
      <c r="J413" s="960">
        <f t="shared" si="62"/>
        <v>0</v>
      </c>
      <c r="K413" s="960">
        <f t="shared" si="62"/>
        <v>0</v>
      </c>
      <c r="L413" s="960">
        <f t="shared" si="62"/>
        <v>3056000</v>
      </c>
      <c r="M413" s="960">
        <f t="shared" si="62"/>
        <v>9480000</v>
      </c>
    </row>
    <row r="414" spans="1:13" s="94" customFormat="1" ht="40.5" customHeight="1">
      <c r="A414" s="885"/>
      <c r="B414" s="353" t="s">
        <v>796</v>
      </c>
      <c r="C414" s="1223"/>
      <c r="D414" s="1001"/>
      <c r="E414" s="355" t="s">
        <v>797</v>
      </c>
      <c r="F414" s="456">
        <f>F415</f>
        <v>716000</v>
      </c>
      <c r="G414" s="456">
        <f aca="true" t="shared" si="63" ref="G414:L414">G415</f>
        <v>0</v>
      </c>
      <c r="H414" s="456">
        <f t="shared" si="63"/>
        <v>0</v>
      </c>
      <c r="I414" s="456">
        <f t="shared" si="63"/>
        <v>0</v>
      </c>
      <c r="J414" s="456">
        <f t="shared" si="63"/>
        <v>0</v>
      </c>
      <c r="K414" s="456">
        <f t="shared" si="63"/>
        <v>0</v>
      </c>
      <c r="L414" s="456">
        <f t="shared" si="63"/>
        <v>0</v>
      </c>
      <c r="M414" s="456">
        <f aca="true" t="shared" si="64" ref="M414:M422">SUM(F414:L414)</f>
        <v>716000</v>
      </c>
    </row>
    <row r="415" spans="1:13" s="71" customFormat="1" ht="87" customHeight="1">
      <c r="A415" s="885"/>
      <c r="B415" s="1002"/>
      <c r="C415" s="1224" t="s">
        <v>682</v>
      </c>
      <c r="D415" s="1003"/>
      <c r="E415" s="1004" t="s">
        <v>577</v>
      </c>
      <c r="F415" s="1005">
        <v>716000</v>
      </c>
      <c r="G415" s="1006"/>
      <c r="H415" s="1007"/>
      <c r="I415" s="1007"/>
      <c r="J415" s="1007"/>
      <c r="K415" s="1008"/>
      <c r="L415" s="1009"/>
      <c r="M415" s="1010">
        <f t="shared" si="64"/>
        <v>716000</v>
      </c>
    </row>
    <row r="416" spans="1:13" s="75" customFormat="1" ht="57.75" customHeight="1">
      <c r="A416" s="885"/>
      <c r="B416" s="1011" t="s">
        <v>798</v>
      </c>
      <c r="C416" s="1207"/>
      <c r="D416" s="887"/>
      <c r="E416" s="888" t="s">
        <v>799</v>
      </c>
      <c r="F416" s="456">
        <f>F417</f>
        <v>5568000</v>
      </c>
      <c r="G416" s="456">
        <f aca="true" t="shared" si="65" ref="G416:L416">G417</f>
        <v>0</v>
      </c>
      <c r="H416" s="456">
        <f t="shared" si="65"/>
        <v>0</v>
      </c>
      <c r="I416" s="456">
        <f t="shared" si="65"/>
        <v>0</v>
      </c>
      <c r="J416" s="456">
        <f t="shared" si="65"/>
        <v>0</v>
      </c>
      <c r="K416" s="456">
        <f t="shared" si="65"/>
        <v>0</v>
      </c>
      <c r="L416" s="456">
        <f t="shared" si="65"/>
        <v>0</v>
      </c>
      <c r="M416" s="456">
        <f t="shared" si="64"/>
        <v>5568000</v>
      </c>
    </row>
    <row r="417" spans="1:13" s="95" customFormat="1" ht="92.25" customHeight="1">
      <c r="A417" s="885"/>
      <c r="B417" s="1002"/>
      <c r="C417" s="1224" t="s">
        <v>682</v>
      </c>
      <c r="D417" s="1003"/>
      <c r="E417" s="1012" t="s">
        <v>800</v>
      </c>
      <c r="F417" s="1013">
        <v>5568000</v>
      </c>
      <c r="G417" s="1014"/>
      <c r="H417" s="1009"/>
      <c r="I417" s="1009"/>
      <c r="J417" s="1009"/>
      <c r="K417" s="1008"/>
      <c r="L417" s="1009"/>
      <c r="M417" s="1015">
        <f t="shared" si="64"/>
        <v>5568000</v>
      </c>
    </row>
    <row r="418" spans="1:13" s="75" customFormat="1" ht="78.75" customHeight="1">
      <c r="A418" s="774"/>
      <c r="B418" s="886">
        <v>85213</v>
      </c>
      <c r="C418" s="1210"/>
      <c r="D418" s="899"/>
      <c r="E418" s="900" t="s">
        <v>78</v>
      </c>
      <c r="F418" s="456">
        <f>F419</f>
        <v>18000</v>
      </c>
      <c r="G418" s="456">
        <f aca="true" t="shared" si="66" ref="G418:L418">G419</f>
        <v>0</v>
      </c>
      <c r="H418" s="456">
        <f t="shared" si="66"/>
        <v>0</v>
      </c>
      <c r="I418" s="456">
        <f t="shared" si="66"/>
        <v>0</v>
      </c>
      <c r="J418" s="456">
        <f t="shared" si="66"/>
        <v>0</v>
      </c>
      <c r="K418" s="456">
        <f t="shared" si="66"/>
        <v>0</v>
      </c>
      <c r="L418" s="456">
        <f t="shared" si="66"/>
        <v>0</v>
      </c>
      <c r="M418" s="456">
        <f t="shared" si="64"/>
        <v>18000</v>
      </c>
    </row>
    <row r="419" spans="1:13" s="95" customFormat="1" ht="84" customHeight="1">
      <c r="A419" s="885"/>
      <c r="B419" s="1002"/>
      <c r="C419" s="1224" t="s">
        <v>682</v>
      </c>
      <c r="D419" s="1003"/>
      <c r="E419" s="1012" t="s">
        <v>79</v>
      </c>
      <c r="F419" s="1013">
        <v>18000</v>
      </c>
      <c r="G419" s="1014"/>
      <c r="H419" s="1009"/>
      <c r="I419" s="1009"/>
      <c r="J419" s="1009"/>
      <c r="K419" s="1008"/>
      <c r="L419" s="1009"/>
      <c r="M419" s="1015">
        <f t="shared" si="64"/>
        <v>18000</v>
      </c>
    </row>
    <row r="420" spans="1:13" s="75" customFormat="1" ht="60.75" customHeight="1">
      <c r="A420" s="774"/>
      <c r="B420" s="886" t="s">
        <v>80</v>
      </c>
      <c r="C420" s="1210"/>
      <c r="D420" s="899"/>
      <c r="E420" s="900" t="s">
        <v>81</v>
      </c>
      <c r="F420" s="456">
        <f>F421+F422+F423</f>
        <v>122000</v>
      </c>
      <c r="G420" s="456">
        <f aca="true" t="shared" si="67" ref="G420:L420">G421+G422+G423</f>
        <v>0</v>
      </c>
      <c r="H420" s="456">
        <f t="shared" si="67"/>
        <v>0</v>
      </c>
      <c r="I420" s="456">
        <f t="shared" si="67"/>
        <v>0</v>
      </c>
      <c r="J420" s="456">
        <f t="shared" si="67"/>
        <v>0</v>
      </c>
      <c r="K420" s="456">
        <f t="shared" si="67"/>
        <v>0</v>
      </c>
      <c r="L420" s="456">
        <f t="shared" si="67"/>
        <v>497000</v>
      </c>
      <c r="M420" s="456">
        <f t="shared" si="64"/>
        <v>619000</v>
      </c>
    </row>
    <row r="421" spans="1:13" s="95" customFormat="1" ht="85.5" customHeight="1">
      <c r="A421" s="774"/>
      <c r="B421" s="357"/>
      <c r="C421" s="1215" t="s">
        <v>682</v>
      </c>
      <c r="D421" s="931"/>
      <c r="E421" s="1016" t="s">
        <v>82</v>
      </c>
      <c r="F421" s="192">
        <v>122000</v>
      </c>
      <c r="G421" s="1017"/>
      <c r="H421" s="194"/>
      <c r="I421" s="194"/>
      <c r="J421" s="194"/>
      <c r="K421" s="193"/>
      <c r="L421" s="194"/>
      <c r="M421" s="1010">
        <f t="shared" si="64"/>
        <v>122000</v>
      </c>
    </row>
    <row r="422" spans="1:13" s="75" customFormat="1" ht="69" customHeight="1">
      <c r="A422" s="774"/>
      <c r="B422" s="357"/>
      <c r="C422" s="1217" t="s">
        <v>700</v>
      </c>
      <c r="D422" s="943"/>
      <c r="E422" s="1016" t="s">
        <v>83</v>
      </c>
      <c r="F422" s="183"/>
      <c r="G422" s="184"/>
      <c r="H422" s="185"/>
      <c r="I422" s="185"/>
      <c r="J422" s="185"/>
      <c r="K422" s="186"/>
      <c r="L422" s="185">
        <v>247000</v>
      </c>
      <c r="M422" s="200">
        <f t="shared" si="64"/>
        <v>247000</v>
      </c>
    </row>
    <row r="423" spans="1:13" s="95" customFormat="1" ht="62.25" customHeight="1">
      <c r="A423" s="774"/>
      <c r="B423" s="357"/>
      <c r="C423" s="1553" t="s">
        <v>701</v>
      </c>
      <c r="D423" s="765"/>
      <c r="E423" s="766" t="s">
        <v>84</v>
      </c>
      <c r="F423" s="1093"/>
      <c r="G423" s="1554"/>
      <c r="H423" s="769"/>
      <c r="I423" s="769"/>
      <c r="J423" s="769"/>
      <c r="K423" s="768"/>
      <c r="L423" s="769">
        <f>55000+195000</f>
        <v>250000</v>
      </c>
      <c r="M423" s="187">
        <f>H423+I423+J423+K423+L423</f>
        <v>250000</v>
      </c>
    </row>
    <row r="424" spans="1:13" s="74" customFormat="1" ht="31.5" customHeight="1">
      <c r="A424" s="774"/>
      <c r="B424" s="1558"/>
      <c r="C424" s="1555"/>
      <c r="D424" s="943"/>
      <c r="E424" s="955" t="s">
        <v>706</v>
      </c>
      <c r="F424" s="183"/>
      <c r="G424" s="184"/>
      <c r="H424" s="184"/>
      <c r="I424" s="184"/>
      <c r="J424" s="184"/>
      <c r="K424" s="184"/>
      <c r="L424" s="184"/>
      <c r="M424" s="726"/>
    </row>
    <row r="425" spans="1:13" s="74" customFormat="1" ht="31.5" customHeight="1">
      <c r="A425" s="774"/>
      <c r="B425" s="1558"/>
      <c r="C425" s="1555"/>
      <c r="D425" s="943"/>
      <c r="E425" s="1556" t="s">
        <v>415</v>
      </c>
      <c r="F425" s="183"/>
      <c r="G425" s="184"/>
      <c r="H425" s="184"/>
      <c r="I425" s="184"/>
      <c r="J425" s="184"/>
      <c r="K425" s="184"/>
      <c r="L425" s="184"/>
      <c r="M425" s="726"/>
    </row>
    <row r="426" spans="1:13" s="95" customFormat="1" ht="31.5" customHeight="1">
      <c r="A426" s="774"/>
      <c r="B426" s="1559"/>
      <c r="C426" s="1550"/>
      <c r="D426" s="1551"/>
      <c r="E426" s="1557" t="s">
        <v>416</v>
      </c>
      <c r="F426" s="325"/>
      <c r="G426" s="1552"/>
      <c r="H426" s="1552"/>
      <c r="I426" s="1552"/>
      <c r="J426" s="1552"/>
      <c r="K426" s="1552"/>
      <c r="L426" s="1552"/>
      <c r="M426" s="726"/>
    </row>
    <row r="427" spans="1:13" s="38" customFormat="1" ht="43.5" customHeight="1">
      <c r="A427" s="1024"/>
      <c r="B427" s="327">
        <v>85215</v>
      </c>
      <c r="C427" s="1160"/>
      <c r="D427" s="329"/>
      <c r="E427" s="329" t="s">
        <v>85</v>
      </c>
      <c r="F427" s="1025">
        <f>F428</f>
        <v>0</v>
      </c>
      <c r="G427" s="1025">
        <f aca="true" t="shared" si="68" ref="G427:L427">G428</f>
        <v>0</v>
      </c>
      <c r="H427" s="1025">
        <f t="shared" si="68"/>
        <v>0</v>
      </c>
      <c r="I427" s="1025">
        <f t="shared" si="68"/>
        <v>0</v>
      </c>
      <c r="J427" s="1025">
        <f t="shared" si="68"/>
        <v>0</v>
      </c>
      <c r="K427" s="1025">
        <f t="shared" si="68"/>
        <v>0</v>
      </c>
      <c r="L427" s="1025">
        <f t="shared" si="68"/>
        <v>1600000</v>
      </c>
      <c r="M427" s="456">
        <f>SUM(F427:L427)</f>
        <v>1600000</v>
      </c>
    </row>
    <row r="428" spans="1:13" s="52" customFormat="1" ht="43.5" customHeight="1">
      <c r="A428" s="1026"/>
      <c r="B428" s="1027"/>
      <c r="C428" s="1172">
        <v>1</v>
      </c>
      <c r="D428" s="1028"/>
      <c r="E428" s="1029" t="s">
        <v>86</v>
      </c>
      <c r="F428" s="1030"/>
      <c r="G428" s="1031"/>
      <c r="H428" s="1030"/>
      <c r="I428" s="1030"/>
      <c r="J428" s="1030"/>
      <c r="K428" s="1030"/>
      <c r="L428" s="1032">
        <f>1600000</f>
        <v>1600000</v>
      </c>
      <c r="M428" s="1032">
        <f>L428</f>
        <v>1600000</v>
      </c>
    </row>
    <row r="429" spans="1:13" s="75" customFormat="1" ht="48.75" customHeight="1">
      <c r="A429" s="774"/>
      <c r="B429" s="886" t="s">
        <v>87</v>
      </c>
      <c r="C429" s="1210"/>
      <c r="D429" s="899"/>
      <c r="E429" s="900" t="s">
        <v>88</v>
      </c>
      <c r="F429" s="1033">
        <f>F430+F431</f>
        <v>0</v>
      </c>
      <c r="G429" s="1033">
        <f aca="true" t="shared" si="69" ref="G429:L429">G430+G431</f>
        <v>0</v>
      </c>
      <c r="H429" s="1033">
        <f t="shared" si="69"/>
        <v>0</v>
      </c>
      <c r="I429" s="1033">
        <f t="shared" si="69"/>
        <v>0</v>
      </c>
      <c r="J429" s="1033">
        <f t="shared" si="69"/>
        <v>0</v>
      </c>
      <c r="K429" s="1033">
        <f t="shared" si="69"/>
        <v>0</v>
      </c>
      <c r="L429" s="1033">
        <f t="shared" si="69"/>
        <v>844000</v>
      </c>
      <c r="M429" s="456">
        <f>SUM(F429:L429)</f>
        <v>844000</v>
      </c>
    </row>
    <row r="430" spans="1:13" s="74" customFormat="1" ht="80.25" customHeight="1">
      <c r="A430" s="774"/>
      <c r="B430" s="357"/>
      <c r="C430" s="1215" t="s">
        <v>682</v>
      </c>
      <c r="D430" s="931"/>
      <c r="E430" s="1016" t="s">
        <v>89</v>
      </c>
      <c r="F430" s="194"/>
      <c r="G430" s="1017"/>
      <c r="H430" s="194"/>
      <c r="I430" s="194"/>
      <c r="J430" s="194"/>
      <c r="K430" s="193"/>
      <c r="L430" s="194">
        <v>294000</v>
      </c>
      <c r="M430" s="1035">
        <f>SUM(F430:L430)</f>
        <v>294000</v>
      </c>
    </row>
    <row r="431" spans="1:13" s="75" customFormat="1" ht="64.5" customHeight="1">
      <c r="A431" s="774"/>
      <c r="B431" s="357"/>
      <c r="C431" s="1226" t="s">
        <v>700</v>
      </c>
      <c r="D431" s="1036"/>
      <c r="E431" s="1037" t="s">
        <v>90</v>
      </c>
      <c r="F431" s="1038"/>
      <c r="G431" s="1039"/>
      <c r="H431" s="1038"/>
      <c r="I431" s="1038"/>
      <c r="J431" s="1038"/>
      <c r="K431" s="170"/>
      <c r="L431" s="171">
        <v>550000</v>
      </c>
      <c r="M431" s="172">
        <f>K431+L431</f>
        <v>550000</v>
      </c>
    </row>
    <row r="432" spans="1:13" s="75" customFormat="1" ht="48.75" customHeight="1">
      <c r="A432" s="774"/>
      <c r="B432" s="886">
        <v>85295</v>
      </c>
      <c r="C432" s="1210"/>
      <c r="D432" s="899"/>
      <c r="E432" s="900" t="s">
        <v>24</v>
      </c>
      <c r="F432" s="1033">
        <f aca="true" t="shared" si="70" ref="F432:K432">F433</f>
        <v>0</v>
      </c>
      <c r="G432" s="1033">
        <f t="shared" si="70"/>
        <v>0</v>
      </c>
      <c r="H432" s="1033">
        <f t="shared" si="70"/>
        <v>0</v>
      </c>
      <c r="I432" s="1033">
        <f t="shared" si="70"/>
        <v>0</v>
      </c>
      <c r="J432" s="1033">
        <f t="shared" si="70"/>
        <v>0</v>
      </c>
      <c r="K432" s="1033">
        <f t="shared" si="70"/>
        <v>0</v>
      </c>
      <c r="L432" s="1033">
        <f>L433+L434</f>
        <v>115000</v>
      </c>
      <c r="M432" s="456">
        <f>SUM(F432:L432)</f>
        <v>115000</v>
      </c>
    </row>
    <row r="433" spans="1:13" s="74" customFormat="1" ht="64.5" customHeight="1">
      <c r="A433" s="774"/>
      <c r="B433" s="357"/>
      <c r="C433" s="1215" t="s">
        <v>682</v>
      </c>
      <c r="D433" s="931"/>
      <c r="E433" s="1016" t="s">
        <v>402</v>
      </c>
      <c r="F433" s="194"/>
      <c r="G433" s="1017"/>
      <c r="H433" s="194"/>
      <c r="I433" s="194"/>
      <c r="J433" s="194"/>
      <c r="K433" s="193"/>
      <c r="L433" s="194">
        <v>6000</v>
      </c>
      <c r="M433" s="1035">
        <f>SUM(F433:L433)</f>
        <v>6000</v>
      </c>
    </row>
    <row r="434" spans="1:13" s="75" customFormat="1" ht="81.75" customHeight="1">
      <c r="A434" s="774"/>
      <c r="B434" s="357"/>
      <c r="C434" s="1226" t="s">
        <v>700</v>
      </c>
      <c r="D434" s="1036"/>
      <c r="E434" s="1037" t="s">
        <v>417</v>
      </c>
      <c r="F434" s="1038"/>
      <c r="G434" s="1039"/>
      <c r="H434" s="1038"/>
      <c r="I434" s="1038"/>
      <c r="J434" s="1038"/>
      <c r="K434" s="170"/>
      <c r="L434" s="171">
        <v>109000</v>
      </c>
      <c r="M434" s="172">
        <f>K434+L434</f>
        <v>109000</v>
      </c>
    </row>
    <row r="435" spans="1:13" s="74" customFormat="1" ht="39.75" customHeight="1">
      <c r="A435" s="759">
        <v>16</v>
      </c>
      <c r="B435" s="734">
        <v>854</v>
      </c>
      <c r="C435" s="1227"/>
      <c r="D435" s="1047"/>
      <c r="E435" s="1048" t="s">
        <v>92</v>
      </c>
      <c r="F435" s="761">
        <f aca="true" t="shared" si="71" ref="F435:M435">F436+F462+F464</f>
        <v>0</v>
      </c>
      <c r="G435" s="761">
        <f t="shared" si="71"/>
        <v>0</v>
      </c>
      <c r="H435" s="761">
        <f t="shared" si="71"/>
        <v>17301</v>
      </c>
      <c r="I435" s="761">
        <f t="shared" si="71"/>
        <v>0</v>
      </c>
      <c r="J435" s="761">
        <f t="shared" si="71"/>
        <v>0</v>
      </c>
      <c r="K435" s="761">
        <f t="shared" si="71"/>
        <v>0</v>
      </c>
      <c r="L435" s="761">
        <f t="shared" si="71"/>
        <v>1361123</v>
      </c>
      <c r="M435" s="761">
        <f t="shared" si="71"/>
        <v>1378424</v>
      </c>
    </row>
    <row r="436" spans="1:13" s="103" customFormat="1" ht="37.5" customHeight="1">
      <c r="A436" s="885"/>
      <c r="B436" s="353" t="s">
        <v>93</v>
      </c>
      <c r="C436" s="1223"/>
      <c r="D436" s="1001"/>
      <c r="E436" s="355" t="s">
        <v>94</v>
      </c>
      <c r="F436" s="1033">
        <f>F437</f>
        <v>0</v>
      </c>
      <c r="G436" s="1033">
        <f aca="true" t="shared" si="72" ref="G436:M436">G437</f>
        <v>0</v>
      </c>
      <c r="H436" s="1033">
        <f t="shared" si="72"/>
        <v>0</v>
      </c>
      <c r="I436" s="1033">
        <f t="shared" si="72"/>
        <v>0</v>
      </c>
      <c r="J436" s="1033">
        <f t="shared" si="72"/>
        <v>0</v>
      </c>
      <c r="K436" s="1033">
        <f t="shared" si="72"/>
        <v>0</v>
      </c>
      <c r="L436" s="1033">
        <f t="shared" si="72"/>
        <v>1319000</v>
      </c>
      <c r="M436" s="1033">
        <f t="shared" si="72"/>
        <v>1319000</v>
      </c>
    </row>
    <row r="437" spans="1:13" s="71" customFormat="1" ht="30" customHeight="1">
      <c r="A437" s="1049"/>
      <c r="B437" s="465"/>
      <c r="C437" s="1197" t="s">
        <v>602</v>
      </c>
      <c r="D437" s="775"/>
      <c r="E437" s="776" t="s">
        <v>1016</v>
      </c>
      <c r="F437" s="1050"/>
      <c r="G437" s="776"/>
      <c r="H437" s="1050"/>
      <c r="I437" s="1050"/>
      <c r="J437" s="1050"/>
      <c r="K437" s="849"/>
      <c r="L437" s="1051">
        <f>SUM(L438:L456)</f>
        <v>1319000</v>
      </c>
      <c r="M437" s="1052">
        <f>K437+L437</f>
        <v>1319000</v>
      </c>
    </row>
    <row r="438" spans="1:13" s="75" customFormat="1" ht="31.5" customHeight="1">
      <c r="A438" s="916"/>
      <c r="B438" s="465"/>
      <c r="C438" s="1213" t="s">
        <v>682</v>
      </c>
      <c r="D438" s="917"/>
      <c r="E438" s="910" t="s">
        <v>44</v>
      </c>
      <c r="F438" s="911"/>
      <c r="G438" s="910"/>
      <c r="H438" s="911"/>
      <c r="I438" s="911"/>
      <c r="J438" s="911"/>
      <c r="K438" s="311"/>
      <c r="L438" s="312">
        <f>170000+100+17075+52825</f>
        <v>240000</v>
      </c>
      <c r="M438" s="313">
        <f>L438</f>
        <v>240000</v>
      </c>
    </row>
    <row r="439" spans="1:13" s="9" customFormat="1" ht="33.75" customHeight="1">
      <c r="A439" s="173"/>
      <c r="B439" s="465"/>
      <c r="C439" s="1198"/>
      <c r="D439" s="458"/>
      <c r="E439" s="785" t="s">
        <v>1018</v>
      </c>
      <c r="F439" s="786"/>
      <c r="G439" s="787"/>
      <c r="H439" s="788"/>
      <c r="I439" s="788"/>
      <c r="J439" s="788"/>
      <c r="K439" s="311"/>
      <c r="L439" s="185"/>
      <c r="M439" s="187"/>
    </row>
    <row r="440" spans="1:13" s="1542" customFormat="1" ht="36.75" customHeight="1">
      <c r="A440" s="173"/>
      <c r="B440" s="465"/>
      <c r="C440" s="458"/>
      <c r="D440" s="458"/>
      <c r="E440" s="1541" t="s">
        <v>418</v>
      </c>
      <c r="F440" s="786"/>
      <c r="G440" s="787"/>
      <c r="H440" s="788"/>
      <c r="I440" s="788"/>
      <c r="J440" s="788"/>
      <c r="K440" s="311"/>
      <c r="L440" s="185"/>
      <c r="M440" s="187"/>
    </row>
    <row r="441" spans="1:13" s="1542" customFormat="1" ht="66.75" customHeight="1">
      <c r="A441" s="173"/>
      <c r="B441" s="465"/>
      <c r="C441" s="458"/>
      <c r="D441" s="458"/>
      <c r="E441" s="1541" t="s">
        <v>986</v>
      </c>
      <c r="F441" s="786"/>
      <c r="G441" s="787"/>
      <c r="H441" s="788"/>
      <c r="I441" s="788"/>
      <c r="J441" s="788"/>
      <c r="K441" s="311"/>
      <c r="L441" s="185"/>
      <c r="M441" s="187"/>
    </row>
    <row r="442" spans="1:13" s="1542" customFormat="1" ht="36.75" customHeight="1">
      <c r="A442" s="173"/>
      <c r="B442" s="465"/>
      <c r="C442" s="458"/>
      <c r="D442" s="458"/>
      <c r="E442" s="1541" t="s">
        <v>988</v>
      </c>
      <c r="F442" s="786"/>
      <c r="G442" s="787"/>
      <c r="H442" s="788"/>
      <c r="I442" s="788"/>
      <c r="J442" s="788"/>
      <c r="K442" s="311"/>
      <c r="L442" s="185"/>
      <c r="M442" s="187"/>
    </row>
    <row r="443" spans="1:13" s="1542" customFormat="1" ht="36.75" customHeight="1">
      <c r="A443" s="173"/>
      <c r="B443" s="465"/>
      <c r="C443" s="458"/>
      <c r="D443" s="458"/>
      <c r="E443" s="1541" t="s">
        <v>987</v>
      </c>
      <c r="F443" s="786"/>
      <c r="G443" s="787"/>
      <c r="H443" s="788"/>
      <c r="I443" s="788"/>
      <c r="J443" s="788"/>
      <c r="K443" s="311"/>
      <c r="L443" s="185"/>
      <c r="M443" s="187"/>
    </row>
    <row r="444" spans="1:13" s="104" customFormat="1" ht="29.25" customHeight="1">
      <c r="A444" s="916"/>
      <c r="B444" s="465"/>
      <c r="C444" s="1543" t="s">
        <v>700</v>
      </c>
      <c r="D444" s="1544"/>
      <c r="E444" s="1545" t="s">
        <v>780</v>
      </c>
      <c r="F444" s="1547"/>
      <c r="G444" s="1545"/>
      <c r="H444" s="1547"/>
      <c r="I444" s="1547"/>
      <c r="J444" s="1547"/>
      <c r="K444" s="815"/>
      <c r="L444" s="1548">
        <f>302000+200+97800+125000</f>
        <v>525000</v>
      </c>
      <c r="M444" s="1549">
        <f>K444+L444</f>
        <v>525000</v>
      </c>
    </row>
    <row r="445" spans="1:13" s="9" customFormat="1" ht="33.75" customHeight="1">
      <c r="A445" s="173"/>
      <c r="B445" s="465"/>
      <c r="C445" s="1198"/>
      <c r="D445" s="458"/>
      <c r="E445" s="785" t="s">
        <v>1018</v>
      </c>
      <c r="F445" s="786"/>
      <c r="G445" s="787"/>
      <c r="H445" s="788"/>
      <c r="I445" s="788"/>
      <c r="J445" s="788"/>
      <c r="K445" s="311"/>
      <c r="L445" s="185"/>
      <c r="M445" s="187"/>
    </row>
    <row r="446" spans="1:13" s="1542" customFormat="1" ht="36.75" customHeight="1">
      <c r="A446" s="173"/>
      <c r="B446" s="465"/>
      <c r="C446" s="458"/>
      <c r="D446" s="458"/>
      <c r="E446" s="1541" t="s">
        <v>989</v>
      </c>
      <c r="F446" s="786"/>
      <c r="G446" s="787"/>
      <c r="H446" s="788"/>
      <c r="I446" s="788"/>
      <c r="J446" s="788"/>
      <c r="K446" s="311"/>
      <c r="L446" s="185"/>
      <c r="M446" s="187"/>
    </row>
    <row r="447" spans="1:13" s="1542" customFormat="1" ht="66.75" customHeight="1">
      <c r="A447" s="173"/>
      <c r="B447" s="465"/>
      <c r="C447" s="458"/>
      <c r="D447" s="458"/>
      <c r="E447" s="1541" t="s">
        <v>990</v>
      </c>
      <c r="F447" s="786"/>
      <c r="G447" s="787"/>
      <c r="H447" s="788"/>
      <c r="I447" s="788"/>
      <c r="J447" s="788"/>
      <c r="K447" s="311"/>
      <c r="L447" s="185"/>
      <c r="M447" s="187"/>
    </row>
    <row r="448" spans="1:13" s="1542" customFormat="1" ht="36.75" customHeight="1">
      <c r="A448" s="173"/>
      <c r="B448" s="465"/>
      <c r="C448" s="458"/>
      <c r="D448" s="458"/>
      <c r="E448" s="1541" t="s">
        <v>992</v>
      </c>
      <c r="F448" s="786"/>
      <c r="G448" s="787"/>
      <c r="H448" s="788"/>
      <c r="I448" s="788"/>
      <c r="J448" s="788"/>
      <c r="K448" s="311"/>
      <c r="L448" s="185"/>
      <c r="M448" s="187"/>
    </row>
    <row r="449" spans="1:13" s="1542" customFormat="1" ht="36.75" customHeight="1">
      <c r="A449" s="173"/>
      <c r="B449" s="465"/>
      <c r="C449" s="458"/>
      <c r="D449" s="458"/>
      <c r="E449" s="1541" t="s">
        <v>991</v>
      </c>
      <c r="F449" s="786"/>
      <c r="G449" s="787"/>
      <c r="H449" s="788"/>
      <c r="I449" s="788"/>
      <c r="J449" s="788"/>
      <c r="K449" s="311"/>
      <c r="L449" s="185"/>
      <c r="M449" s="187"/>
    </row>
    <row r="450" spans="1:13" s="105" customFormat="1" ht="29.25" customHeight="1">
      <c r="A450" s="916"/>
      <c r="B450" s="465"/>
      <c r="C450" s="1543" t="s">
        <v>701</v>
      </c>
      <c r="D450" s="1544"/>
      <c r="E450" s="1545" t="s">
        <v>777</v>
      </c>
      <c r="F450" s="1547"/>
      <c r="G450" s="1545"/>
      <c r="H450" s="1547"/>
      <c r="I450" s="1547"/>
      <c r="J450" s="1547"/>
      <c r="K450" s="815"/>
      <c r="L450" s="1548">
        <f>116000+100+69500+40400</f>
        <v>226000</v>
      </c>
      <c r="M450" s="1549">
        <f>K450+L450</f>
        <v>226000</v>
      </c>
    </row>
    <row r="451" spans="1:13" s="9" customFormat="1" ht="33.75" customHeight="1">
      <c r="A451" s="173"/>
      <c r="B451" s="465"/>
      <c r="C451" s="1198"/>
      <c r="D451" s="458"/>
      <c r="E451" s="785" t="s">
        <v>1018</v>
      </c>
      <c r="F451" s="786"/>
      <c r="G451" s="787"/>
      <c r="H451" s="788"/>
      <c r="I451" s="788"/>
      <c r="J451" s="788"/>
      <c r="K451" s="311"/>
      <c r="L451" s="185"/>
      <c r="M451" s="187"/>
    </row>
    <row r="452" spans="1:13" s="1542" customFormat="1" ht="36.75" customHeight="1">
      <c r="A452" s="173"/>
      <c r="B452" s="465"/>
      <c r="C452" s="458"/>
      <c r="D452" s="458"/>
      <c r="E452" s="1541" t="s">
        <v>993</v>
      </c>
      <c r="F452" s="786"/>
      <c r="G452" s="787"/>
      <c r="H452" s="788"/>
      <c r="I452" s="788"/>
      <c r="J452" s="788"/>
      <c r="K452" s="311"/>
      <c r="L452" s="185"/>
      <c r="M452" s="187"/>
    </row>
    <row r="453" spans="1:13" s="1542" customFormat="1" ht="66.75" customHeight="1">
      <c r="A453" s="173"/>
      <c r="B453" s="465"/>
      <c r="C453" s="458"/>
      <c r="D453" s="458"/>
      <c r="E453" s="1541" t="s">
        <v>986</v>
      </c>
      <c r="F453" s="786"/>
      <c r="G453" s="787"/>
      <c r="H453" s="788"/>
      <c r="I453" s="788"/>
      <c r="J453" s="788"/>
      <c r="K453" s="311"/>
      <c r="L453" s="185"/>
      <c r="M453" s="187"/>
    </row>
    <row r="454" spans="1:13" s="1542" customFormat="1" ht="36.75" customHeight="1">
      <c r="A454" s="173"/>
      <c r="B454" s="465"/>
      <c r="C454" s="458"/>
      <c r="D454" s="458"/>
      <c r="E454" s="1541" t="s">
        <v>995</v>
      </c>
      <c r="F454" s="786"/>
      <c r="G454" s="787"/>
      <c r="H454" s="788"/>
      <c r="I454" s="788"/>
      <c r="J454" s="788"/>
      <c r="K454" s="311"/>
      <c r="L454" s="185"/>
      <c r="M454" s="187"/>
    </row>
    <row r="455" spans="1:13" s="1542" customFormat="1" ht="36.75" customHeight="1">
      <c r="A455" s="173"/>
      <c r="B455" s="465"/>
      <c r="C455" s="458"/>
      <c r="D455" s="458"/>
      <c r="E455" s="1541" t="s">
        <v>994</v>
      </c>
      <c r="F455" s="786"/>
      <c r="G455" s="787"/>
      <c r="H455" s="788"/>
      <c r="I455" s="788"/>
      <c r="J455" s="788"/>
      <c r="K455" s="311"/>
      <c r="L455" s="185"/>
      <c r="M455" s="187"/>
    </row>
    <row r="456" spans="1:13" s="105" customFormat="1" ht="29.25" customHeight="1">
      <c r="A456" s="916"/>
      <c r="B456" s="465"/>
      <c r="C456" s="1228" t="s">
        <v>702</v>
      </c>
      <c r="D456" s="1053"/>
      <c r="E456" s="1054" t="s">
        <v>781</v>
      </c>
      <c r="F456" s="1055"/>
      <c r="G456" s="1054"/>
      <c r="H456" s="1055"/>
      <c r="I456" s="1055"/>
      <c r="J456" s="1055"/>
      <c r="K456" s="1056"/>
      <c r="L456" s="1057">
        <f>215600+100+17900+94400</f>
        <v>328000</v>
      </c>
      <c r="M456" s="1058">
        <f>K456+L456</f>
        <v>328000</v>
      </c>
    </row>
    <row r="457" spans="1:13" s="9" customFormat="1" ht="33.75" customHeight="1">
      <c r="A457" s="173"/>
      <c r="B457" s="465"/>
      <c r="C457" s="1198"/>
      <c r="D457" s="458"/>
      <c r="E457" s="785" t="s">
        <v>1018</v>
      </c>
      <c r="F457" s="786"/>
      <c r="G457" s="787"/>
      <c r="H457" s="788"/>
      <c r="I457" s="788"/>
      <c r="J457" s="788"/>
      <c r="K457" s="311"/>
      <c r="L457" s="185"/>
      <c r="M457" s="187"/>
    </row>
    <row r="458" spans="1:13" s="1542" customFormat="1" ht="36.75" customHeight="1">
      <c r="A458" s="173"/>
      <c r="B458" s="465"/>
      <c r="C458" s="458"/>
      <c r="D458" s="458"/>
      <c r="E458" s="1541" t="s">
        <v>996</v>
      </c>
      <c r="F458" s="786"/>
      <c r="G458" s="787"/>
      <c r="H458" s="788"/>
      <c r="I458" s="788"/>
      <c r="J458" s="788"/>
      <c r="K458" s="311"/>
      <c r="L458" s="185"/>
      <c r="M458" s="187"/>
    </row>
    <row r="459" spans="1:13" s="1542" customFormat="1" ht="66.75" customHeight="1">
      <c r="A459" s="173"/>
      <c r="B459" s="465"/>
      <c r="C459" s="458"/>
      <c r="D459" s="458"/>
      <c r="E459" s="1541" t="s">
        <v>986</v>
      </c>
      <c r="F459" s="786"/>
      <c r="G459" s="787"/>
      <c r="H459" s="788"/>
      <c r="I459" s="788"/>
      <c r="J459" s="788"/>
      <c r="K459" s="311"/>
      <c r="L459" s="185"/>
      <c r="M459" s="187"/>
    </row>
    <row r="460" spans="1:13" s="1542" customFormat="1" ht="36.75" customHeight="1">
      <c r="A460" s="173"/>
      <c r="B460" s="465"/>
      <c r="C460" s="458"/>
      <c r="D460" s="458"/>
      <c r="E460" s="1541" t="s">
        <v>998</v>
      </c>
      <c r="F460" s="786"/>
      <c r="G460" s="787"/>
      <c r="H460" s="788"/>
      <c r="I460" s="788"/>
      <c r="J460" s="788"/>
      <c r="K460" s="311"/>
      <c r="L460" s="185"/>
      <c r="M460" s="187"/>
    </row>
    <row r="461" spans="1:13" s="1542" customFormat="1" ht="36.75" customHeight="1">
      <c r="A461" s="173"/>
      <c r="B461" s="465"/>
      <c r="C461" s="458"/>
      <c r="D461" s="458"/>
      <c r="E461" s="1541" t="s">
        <v>997</v>
      </c>
      <c r="F461" s="786"/>
      <c r="G461" s="787"/>
      <c r="H461" s="788"/>
      <c r="I461" s="788"/>
      <c r="J461" s="788"/>
      <c r="K461" s="311"/>
      <c r="L461" s="185"/>
      <c r="M461" s="187"/>
    </row>
    <row r="462" spans="1:13" s="103" customFormat="1" ht="55.5" customHeight="1">
      <c r="A462" s="885"/>
      <c r="B462" s="1011">
        <v>85412</v>
      </c>
      <c r="C462" s="1207"/>
      <c r="D462" s="887"/>
      <c r="E462" s="888" t="s">
        <v>541</v>
      </c>
      <c r="F462" s="1033">
        <f>F463</f>
        <v>0</v>
      </c>
      <c r="G462" s="1033">
        <f aca="true" t="shared" si="73" ref="G462:M462">G463</f>
        <v>0</v>
      </c>
      <c r="H462" s="1033">
        <f t="shared" si="73"/>
        <v>0</v>
      </c>
      <c r="I462" s="1033">
        <f t="shared" si="73"/>
        <v>0</v>
      </c>
      <c r="J462" s="1033">
        <f t="shared" si="73"/>
        <v>0</v>
      </c>
      <c r="K462" s="1033">
        <f t="shared" si="73"/>
        <v>0</v>
      </c>
      <c r="L462" s="1033">
        <f t="shared" si="73"/>
        <v>25000</v>
      </c>
      <c r="M462" s="1034">
        <f t="shared" si="73"/>
        <v>25000</v>
      </c>
    </row>
    <row r="463" spans="1:13" s="105" customFormat="1" ht="64.5" customHeight="1">
      <c r="A463" s="916"/>
      <c r="B463" s="465"/>
      <c r="C463" s="1228" t="s">
        <v>682</v>
      </c>
      <c r="D463" s="1053"/>
      <c r="E463" s="946" t="s">
        <v>791</v>
      </c>
      <c r="F463" s="1055"/>
      <c r="G463" s="1054"/>
      <c r="H463" s="1055"/>
      <c r="I463" s="1055"/>
      <c r="J463" s="1055"/>
      <c r="K463" s="1056"/>
      <c r="L463" s="1057">
        <v>25000</v>
      </c>
      <c r="M463" s="1058">
        <f>K463+L463</f>
        <v>25000</v>
      </c>
    </row>
    <row r="464" spans="1:13" s="103" customFormat="1" ht="40.5" customHeight="1">
      <c r="A464" s="885"/>
      <c r="B464" s="1011" t="s">
        <v>95</v>
      </c>
      <c r="C464" s="1207"/>
      <c r="D464" s="887"/>
      <c r="E464" s="888" t="s">
        <v>96</v>
      </c>
      <c r="F464" s="1033">
        <f aca="true" t="shared" si="74" ref="F464:K464">SUM(F466:F466)</f>
        <v>0</v>
      </c>
      <c r="G464" s="1033">
        <f t="shared" si="74"/>
        <v>0</v>
      </c>
      <c r="H464" s="1033">
        <f t="shared" si="74"/>
        <v>17301</v>
      </c>
      <c r="I464" s="1033">
        <f t="shared" si="74"/>
        <v>0</v>
      </c>
      <c r="J464" s="1033">
        <f t="shared" si="74"/>
        <v>0</v>
      </c>
      <c r="K464" s="1033">
        <f t="shared" si="74"/>
        <v>0</v>
      </c>
      <c r="L464" s="1033">
        <f>SUM(L465:L466)</f>
        <v>17123</v>
      </c>
      <c r="M464" s="1034">
        <f>M465+M466</f>
        <v>34424</v>
      </c>
    </row>
    <row r="465" spans="1:13" s="105" customFormat="1" ht="35.25" customHeight="1">
      <c r="A465" s="916"/>
      <c r="B465" s="465"/>
      <c r="C465" s="1213" t="s">
        <v>682</v>
      </c>
      <c r="D465" s="917"/>
      <c r="E465" s="910" t="s">
        <v>999</v>
      </c>
      <c r="F465" s="911"/>
      <c r="G465" s="910"/>
      <c r="H465" s="911"/>
      <c r="I465" s="911"/>
      <c r="J465" s="911"/>
      <c r="K465" s="311"/>
      <c r="L465" s="312">
        <v>9000</v>
      </c>
      <c r="M465" s="313">
        <f aca="true" t="shared" si="75" ref="M465:M470">SUM(F465:L465)</f>
        <v>9000</v>
      </c>
    </row>
    <row r="466" spans="1:13" s="105" customFormat="1" ht="114" customHeight="1">
      <c r="A466" s="916"/>
      <c r="B466" s="465"/>
      <c r="C466" s="1213" t="s">
        <v>700</v>
      </c>
      <c r="D466" s="917"/>
      <c r="E466" s="910" t="s">
        <v>318</v>
      </c>
      <c r="F466" s="911"/>
      <c r="G466" s="910"/>
      <c r="H466" s="312">
        <v>17301</v>
      </c>
      <c r="I466" s="911"/>
      <c r="J466" s="911"/>
      <c r="K466" s="311"/>
      <c r="L466" s="312">
        <v>8123</v>
      </c>
      <c r="M466" s="313">
        <f t="shared" si="75"/>
        <v>25424</v>
      </c>
    </row>
    <row r="467" spans="1:13" s="46" customFormat="1" ht="66.75" customHeight="1">
      <c r="A467" s="151">
        <v>17</v>
      </c>
      <c r="B467" s="152">
        <v>900</v>
      </c>
      <c r="C467" s="1148"/>
      <c r="D467" s="154"/>
      <c r="E467" s="155" t="s">
        <v>522</v>
      </c>
      <c r="F467" s="156">
        <f aca="true" t="shared" si="76" ref="F467:L467">F468+F471+F475+F480+F485</f>
        <v>0</v>
      </c>
      <c r="G467" s="188">
        <f t="shared" si="76"/>
        <v>0</v>
      </c>
      <c r="H467" s="188">
        <f t="shared" si="76"/>
        <v>0</v>
      </c>
      <c r="I467" s="188">
        <f t="shared" si="76"/>
        <v>0</v>
      </c>
      <c r="J467" s="188">
        <f t="shared" si="76"/>
        <v>0</v>
      </c>
      <c r="K467" s="188">
        <f t="shared" si="76"/>
        <v>0</v>
      </c>
      <c r="L467" s="188">
        <f t="shared" si="76"/>
        <v>2526580</v>
      </c>
      <c r="M467" s="157">
        <f t="shared" si="75"/>
        <v>2526580</v>
      </c>
    </row>
    <row r="468" spans="1:13" s="46" customFormat="1" ht="47.25" customHeight="1">
      <c r="A468" s="1060"/>
      <c r="B468" s="305">
        <v>90001</v>
      </c>
      <c r="C468" s="1170"/>
      <c r="D468" s="718"/>
      <c r="E468" s="719" t="s">
        <v>97</v>
      </c>
      <c r="F468" s="720">
        <f aca="true" t="shared" si="77" ref="F468:K468">F469</f>
        <v>0</v>
      </c>
      <c r="G468" s="743">
        <f t="shared" si="77"/>
        <v>0</v>
      </c>
      <c r="H468" s="744">
        <f t="shared" si="77"/>
        <v>0</v>
      </c>
      <c r="I468" s="744">
        <f t="shared" si="77"/>
        <v>0</v>
      </c>
      <c r="J468" s="744">
        <f t="shared" si="77"/>
        <v>0</v>
      </c>
      <c r="K468" s="744">
        <f t="shared" si="77"/>
        <v>0</v>
      </c>
      <c r="L468" s="744">
        <f>L469+L470</f>
        <v>1221265</v>
      </c>
      <c r="M468" s="745">
        <f t="shared" si="75"/>
        <v>1221265</v>
      </c>
    </row>
    <row r="469" spans="1:13" s="46" customFormat="1" ht="61.5" customHeight="1">
      <c r="A469" s="304"/>
      <c r="B469" s="166"/>
      <c r="C469" s="1230">
        <v>1</v>
      </c>
      <c r="D469" s="1061"/>
      <c r="E469" s="215" t="s">
        <v>141</v>
      </c>
      <c r="F469" s="204"/>
      <c r="G469" s="205"/>
      <c r="H469" s="185"/>
      <c r="I469" s="185"/>
      <c r="J469" s="185"/>
      <c r="K469" s="187"/>
      <c r="L469" s="186">
        <v>1200000</v>
      </c>
      <c r="M469" s="187">
        <f t="shared" si="75"/>
        <v>1200000</v>
      </c>
    </row>
    <row r="470" spans="1:13" s="46" customFormat="1" ht="61.5" customHeight="1">
      <c r="A470" s="304"/>
      <c r="B470" s="166"/>
      <c r="C470" s="1953">
        <v>2</v>
      </c>
      <c r="D470" s="1954"/>
      <c r="E470" s="1955" t="s">
        <v>634</v>
      </c>
      <c r="F470" s="1956"/>
      <c r="G470" s="1956"/>
      <c r="H470" s="1020"/>
      <c r="I470" s="1020"/>
      <c r="J470" s="1020"/>
      <c r="K470" s="1020"/>
      <c r="L470" s="1021">
        <v>21265</v>
      </c>
      <c r="M470" s="930">
        <f t="shared" si="75"/>
        <v>21265</v>
      </c>
    </row>
    <row r="471" spans="1:47" s="69" customFormat="1" ht="44.25" customHeight="1">
      <c r="A471" s="1062"/>
      <c r="B471" s="1063">
        <v>90003</v>
      </c>
      <c r="C471" s="1231"/>
      <c r="D471" s="1064"/>
      <c r="E471" s="1065" t="s">
        <v>523</v>
      </c>
      <c r="F471" s="1066">
        <v>0</v>
      </c>
      <c r="G471" s="1067">
        <v>0</v>
      </c>
      <c r="H471" s="1068">
        <v>0</v>
      </c>
      <c r="I471" s="1068">
        <v>0</v>
      </c>
      <c r="J471" s="1068">
        <v>0</v>
      </c>
      <c r="K471" s="1068">
        <v>0</v>
      </c>
      <c r="L471" s="1068">
        <f>L472+L473+L474</f>
        <v>440000</v>
      </c>
      <c r="M471" s="1068">
        <f>M472+M473+M474</f>
        <v>440000</v>
      </c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</row>
    <row r="472" spans="1:47" s="46" customFormat="1" ht="30.75" customHeight="1">
      <c r="A472" s="400"/>
      <c r="B472" s="1069"/>
      <c r="C472" s="1162">
        <v>1</v>
      </c>
      <c r="D472" s="337"/>
      <c r="E472" s="1070" t="s">
        <v>320</v>
      </c>
      <c r="F472" s="965"/>
      <c r="G472" s="1071"/>
      <c r="H472" s="965"/>
      <c r="I472" s="965"/>
      <c r="J472" s="965"/>
      <c r="K472" s="965"/>
      <c r="L472" s="965">
        <f>230000-10000</f>
        <v>220000</v>
      </c>
      <c r="M472" s="966">
        <f>L472</f>
        <v>220000</v>
      </c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</row>
    <row r="473" spans="1:47" s="46" customFormat="1" ht="70.5" customHeight="1">
      <c r="A473" s="400"/>
      <c r="B473" s="316"/>
      <c r="C473" s="1153">
        <v>2</v>
      </c>
      <c r="D473" s="317"/>
      <c r="E473" s="223" t="s">
        <v>772</v>
      </c>
      <c r="F473" s="982"/>
      <c r="G473" s="1072"/>
      <c r="H473" s="982"/>
      <c r="I473" s="982"/>
      <c r="J473" s="982"/>
      <c r="K473" s="982"/>
      <c r="L473" s="982">
        <f>200000-10000</f>
        <v>190000</v>
      </c>
      <c r="M473" s="983">
        <f>L473</f>
        <v>190000</v>
      </c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</row>
    <row r="474" spans="1:47" s="46" customFormat="1" ht="79.5" customHeight="1">
      <c r="A474" s="400"/>
      <c r="B474" s="316"/>
      <c r="C474" s="1157">
        <v>3</v>
      </c>
      <c r="D474" s="437"/>
      <c r="E474" s="422" t="s">
        <v>773</v>
      </c>
      <c r="F474" s="988"/>
      <c r="G474" s="1073"/>
      <c r="H474" s="988"/>
      <c r="I474" s="988"/>
      <c r="J474" s="988"/>
      <c r="K474" s="988"/>
      <c r="L474" s="988">
        <f>35000-5000</f>
        <v>30000</v>
      </c>
      <c r="M474" s="989">
        <f>L474</f>
        <v>30000</v>
      </c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</row>
    <row r="475" spans="1:47" s="69" customFormat="1" ht="45" customHeight="1">
      <c r="A475" s="1074"/>
      <c r="B475" s="1075">
        <v>90004</v>
      </c>
      <c r="C475" s="1232"/>
      <c r="D475" s="1076"/>
      <c r="E475" s="1077" t="s">
        <v>774</v>
      </c>
      <c r="F475" s="1078">
        <v>0</v>
      </c>
      <c r="G475" s="1079">
        <v>0</v>
      </c>
      <c r="H475" s="1078">
        <v>0</v>
      </c>
      <c r="I475" s="1078">
        <v>0</v>
      </c>
      <c r="J475" s="1078">
        <v>0</v>
      </c>
      <c r="K475" s="1078">
        <v>0</v>
      </c>
      <c r="L475" s="1078">
        <f>SUM(L476:L479)</f>
        <v>150000</v>
      </c>
      <c r="M475" s="1078">
        <f>SUM(F475:L475)</f>
        <v>150000</v>
      </c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</row>
    <row r="476" spans="1:47" s="46" customFormat="1" ht="99" customHeight="1">
      <c r="A476" s="400"/>
      <c r="B476" s="316"/>
      <c r="C476" s="1157">
        <v>1</v>
      </c>
      <c r="D476" s="437"/>
      <c r="E476" s="422" t="s">
        <v>776</v>
      </c>
      <c r="F476" s="988"/>
      <c r="G476" s="1073"/>
      <c r="H476" s="988"/>
      <c r="I476" s="988"/>
      <c r="J476" s="988"/>
      <c r="K476" s="988"/>
      <c r="L476" s="988">
        <f>75000-5000</f>
        <v>70000</v>
      </c>
      <c r="M476" s="989">
        <f>L476</f>
        <v>70000</v>
      </c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</row>
    <row r="477" spans="1:47" s="46" customFormat="1" ht="105" customHeight="1">
      <c r="A477" s="400"/>
      <c r="B477" s="316"/>
      <c r="C477" s="1153">
        <v>2</v>
      </c>
      <c r="D477" s="317"/>
      <c r="E477" s="223" t="s">
        <v>649</v>
      </c>
      <c r="F477" s="982"/>
      <c r="G477" s="1072"/>
      <c r="H477" s="982"/>
      <c r="I477" s="982"/>
      <c r="J477" s="982"/>
      <c r="K477" s="982"/>
      <c r="L477" s="982">
        <f>25000-5000</f>
        <v>20000</v>
      </c>
      <c r="M477" s="983">
        <f>L477</f>
        <v>20000</v>
      </c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</row>
    <row r="478" spans="1:47" s="46" customFormat="1" ht="37.5" customHeight="1">
      <c r="A478" s="400"/>
      <c r="B478" s="316"/>
      <c r="C478" s="1153">
        <v>3</v>
      </c>
      <c r="D478" s="317"/>
      <c r="E478" s="223" t="s">
        <v>319</v>
      </c>
      <c r="F478" s="982"/>
      <c r="G478" s="1072"/>
      <c r="H478" s="982"/>
      <c r="I478" s="982"/>
      <c r="J478" s="982"/>
      <c r="K478" s="982"/>
      <c r="L478" s="982">
        <v>50000</v>
      </c>
      <c r="M478" s="983">
        <f>SUM(F478:L478)</f>
        <v>50000</v>
      </c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</row>
    <row r="479" spans="1:47" s="46" customFormat="1" ht="58.5" customHeight="1">
      <c r="A479" s="400"/>
      <c r="B479" s="967"/>
      <c r="C479" s="1147">
        <v>4</v>
      </c>
      <c r="D479" s="321"/>
      <c r="E479" s="1080" t="s">
        <v>426</v>
      </c>
      <c r="F479" s="1081"/>
      <c r="G479" s="1082"/>
      <c r="H479" s="1081"/>
      <c r="I479" s="1081"/>
      <c r="J479" s="1081"/>
      <c r="K479" s="1081"/>
      <c r="L479" s="1081">
        <v>10000</v>
      </c>
      <c r="M479" s="1083">
        <f>L479</f>
        <v>10000</v>
      </c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</row>
    <row r="480" spans="1:47" s="69" customFormat="1" ht="44.25" customHeight="1">
      <c r="A480" s="1074"/>
      <c r="B480" s="1075">
        <v>90015</v>
      </c>
      <c r="C480" s="1232"/>
      <c r="D480" s="1076"/>
      <c r="E480" s="1077" t="s">
        <v>102</v>
      </c>
      <c r="F480" s="1078">
        <v>0</v>
      </c>
      <c r="G480" s="1079">
        <v>0</v>
      </c>
      <c r="H480" s="1078">
        <v>0</v>
      </c>
      <c r="I480" s="1078">
        <v>0</v>
      </c>
      <c r="J480" s="1078">
        <v>0</v>
      </c>
      <c r="K480" s="1078">
        <v>0</v>
      </c>
      <c r="L480" s="1078">
        <f>SUM(L481:L484)</f>
        <v>350315</v>
      </c>
      <c r="M480" s="1078">
        <f>SUM(F480:L480)</f>
        <v>350315</v>
      </c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</row>
    <row r="481" spans="1:47" s="46" customFormat="1" ht="63.75" customHeight="1">
      <c r="A481" s="400"/>
      <c r="B481" s="1069"/>
      <c r="C481" s="1162">
        <v>1</v>
      </c>
      <c r="D481" s="337"/>
      <c r="E481" s="1070" t="s">
        <v>662</v>
      </c>
      <c r="F481" s="965"/>
      <c r="G481" s="1071"/>
      <c r="H481" s="965"/>
      <c r="I481" s="965"/>
      <c r="J481" s="965"/>
      <c r="K481" s="965"/>
      <c r="L481" s="965">
        <v>190000</v>
      </c>
      <c r="M481" s="966">
        <f>L481</f>
        <v>190000</v>
      </c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</row>
    <row r="482" spans="1:47" s="46" customFormat="1" ht="78" customHeight="1">
      <c r="A482" s="400"/>
      <c r="B482" s="316"/>
      <c r="C482" s="1153">
        <v>2</v>
      </c>
      <c r="D482" s="317"/>
      <c r="E482" s="223" t="s">
        <v>427</v>
      </c>
      <c r="F482" s="982"/>
      <c r="G482" s="1072"/>
      <c r="H482" s="982"/>
      <c r="I482" s="982"/>
      <c r="J482" s="982"/>
      <c r="K482" s="982"/>
      <c r="L482" s="982">
        <v>150000</v>
      </c>
      <c r="M482" s="983">
        <f>L482</f>
        <v>150000</v>
      </c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</row>
    <row r="483" spans="1:47" s="47" customFormat="1" ht="39.75" customHeight="1">
      <c r="A483" s="400"/>
      <c r="B483" s="316"/>
      <c r="C483" s="1157">
        <v>3</v>
      </c>
      <c r="D483" s="437"/>
      <c r="E483" s="422" t="s">
        <v>650</v>
      </c>
      <c r="F483" s="988"/>
      <c r="G483" s="1073"/>
      <c r="H483" s="988"/>
      <c r="I483" s="988"/>
      <c r="J483" s="988"/>
      <c r="K483" s="988"/>
      <c r="L483" s="988">
        <v>10000</v>
      </c>
      <c r="M483" s="989">
        <f>L483</f>
        <v>10000</v>
      </c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</row>
    <row r="484" spans="1:47" s="46" customFormat="1" ht="51" customHeight="1">
      <c r="A484" s="1084"/>
      <c r="B484" s="967"/>
      <c r="C484" s="1158">
        <v>4</v>
      </c>
      <c r="D484" s="968"/>
      <c r="E484" s="969" t="s">
        <v>635</v>
      </c>
      <c r="F484" s="973"/>
      <c r="G484" s="1957"/>
      <c r="H484" s="973"/>
      <c r="I484" s="973"/>
      <c r="J484" s="973"/>
      <c r="K484" s="973"/>
      <c r="L484" s="973">
        <v>315</v>
      </c>
      <c r="M484" s="974">
        <f>SUM(F484:L484)</f>
        <v>315</v>
      </c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</row>
    <row r="485" spans="1:47" s="53" customFormat="1" ht="46.5" customHeight="1">
      <c r="A485" s="1074"/>
      <c r="B485" s="1075">
        <v>90095</v>
      </c>
      <c r="C485" s="1232"/>
      <c r="D485" s="1076"/>
      <c r="E485" s="1077" t="s">
        <v>24</v>
      </c>
      <c r="F485" s="1078">
        <v>0</v>
      </c>
      <c r="G485" s="1079">
        <v>0</v>
      </c>
      <c r="H485" s="1078">
        <v>0</v>
      </c>
      <c r="I485" s="1078">
        <v>0</v>
      </c>
      <c r="J485" s="1078">
        <v>0</v>
      </c>
      <c r="K485" s="1078">
        <v>0</v>
      </c>
      <c r="L485" s="1078">
        <f>SUM(L486:L496)</f>
        <v>365000</v>
      </c>
      <c r="M485" s="1078">
        <f>SUM(F485:L485)</f>
        <v>365000</v>
      </c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</row>
    <row r="486" spans="1:47" s="46" customFormat="1" ht="83.25" customHeight="1">
      <c r="A486" s="400"/>
      <c r="B486" s="316"/>
      <c r="C486" s="1157">
        <v>1</v>
      </c>
      <c r="D486" s="437"/>
      <c r="E486" s="422" t="s">
        <v>651</v>
      </c>
      <c r="F486" s="988"/>
      <c r="G486" s="1073"/>
      <c r="H486" s="988"/>
      <c r="I486" s="988"/>
      <c r="J486" s="988"/>
      <c r="K486" s="988"/>
      <c r="L486" s="988">
        <f>80000-10000</f>
        <v>70000</v>
      </c>
      <c r="M486" s="989">
        <f aca="true" t="shared" si="78" ref="M486:M495">L486</f>
        <v>70000</v>
      </c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</row>
    <row r="487" spans="1:47" s="47" customFormat="1" ht="75.75" customHeight="1">
      <c r="A487" s="400"/>
      <c r="B487" s="316"/>
      <c r="C487" s="1153">
        <v>2</v>
      </c>
      <c r="D487" s="317"/>
      <c r="E487" s="223" t="s">
        <v>663</v>
      </c>
      <c r="F487" s="982"/>
      <c r="G487" s="1072"/>
      <c r="H487" s="982"/>
      <c r="I487" s="982"/>
      <c r="J487" s="982"/>
      <c r="K487" s="982"/>
      <c r="L487" s="982">
        <v>6000</v>
      </c>
      <c r="M487" s="983">
        <f t="shared" si="78"/>
        <v>6000</v>
      </c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</row>
    <row r="488" spans="1:47" s="47" customFormat="1" ht="60" customHeight="1">
      <c r="A488" s="400"/>
      <c r="B488" s="316"/>
      <c r="C488" s="1153">
        <v>3</v>
      </c>
      <c r="D488" s="317"/>
      <c r="E488" s="223" t="s">
        <v>103</v>
      </c>
      <c r="F488" s="982"/>
      <c r="G488" s="1072"/>
      <c r="H488" s="982"/>
      <c r="I488" s="982"/>
      <c r="J488" s="982"/>
      <c r="K488" s="982"/>
      <c r="L488" s="982">
        <f>45000-5000</f>
        <v>40000</v>
      </c>
      <c r="M488" s="983">
        <f t="shared" si="78"/>
        <v>40000</v>
      </c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</row>
    <row r="489" spans="1:47" s="47" customFormat="1" ht="60" customHeight="1">
      <c r="A489" s="400"/>
      <c r="B489" s="316"/>
      <c r="C489" s="1153">
        <v>4</v>
      </c>
      <c r="D489" s="317"/>
      <c r="E489" s="223" t="s">
        <v>664</v>
      </c>
      <c r="F489" s="982"/>
      <c r="G489" s="1072"/>
      <c r="H489" s="982"/>
      <c r="I489" s="982"/>
      <c r="J489" s="982"/>
      <c r="K489" s="982"/>
      <c r="L489" s="982">
        <v>7000</v>
      </c>
      <c r="M489" s="983">
        <f t="shared" si="78"/>
        <v>7000</v>
      </c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</row>
    <row r="490" spans="1:47" s="47" customFormat="1" ht="60" customHeight="1">
      <c r="A490" s="400"/>
      <c r="B490" s="316"/>
      <c r="C490" s="1153">
        <v>5</v>
      </c>
      <c r="D490" s="317"/>
      <c r="E490" s="223" t="s">
        <v>104</v>
      </c>
      <c r="F490" s="982"/>
      <c r="G490" s="1072"/>
      <c r="H490" s="982"/>
      <c r="I490" s="982"/>
      <c r="J490" s="982"/>
      <c r="K490" s="982"/>
      <c r="L490" s="982">
        <v>6000</v>
      </c>
      <c r="M490" s="983">
        <f t="shared" si="78"/>
        <v>6000</v>
      </c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</row>
    <row r="491" spans="1:47" s="47" customFormat="1" ht="60" customHeight="1">
      <c r="A491" s="400"/>
      <c r="B491" s="316"/>
      <c r="C491" s="1153">
        <v>6</v>
      </c>
      <c r="D491" s="317"/>
      <c r="E491" s="223" t="s">
        <v>665</v>
      </c>
      <c r="F491" s="982"/>
      <c r="G491" s="1072"/>
      <c r="H491" s="982"/>
      <c r="I491" s="982"/>
      <c r="J491" s="982"/>
      <c r="K491" s="982"/>
      <c r="L491" s="982">
        <v>6000</v>
      </c>
      <c r="M491" s="983">
        <f t="shared" si="78"/>
        <v>6000</v>
      </c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</row>
    <row r="492" spans="1:47" s="47" customFormat="1" ht="60" customHeight="1">
      <c r="A492" s="400"/>
      <c r="B492" s="316"/>
      <c r="C492" s="1153">
        <v>7</v>
      </c>
      <c r="D492" s="317"/>
      <c r="E492" s="223" t="s">
        <v>463</v>
      </c>
      <c r="F492" s="982"/>
      <c r="G492" s="1072"/>
      <c r="H492" s="982"/>
      <c r="I492" s="982"/>
      <c r="J492" s="982"/>
      <c r="K492" s="982"/>
      <c r="L492" s="982">
        <v>20000</v>
      </c>
      <c r="M492" s="983">
        <f t="shared" si="78"/>
        <v>20000</v>
      </c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</row>
    <row r="493" spans="1:47" s="47" customFormat="1" ht="60" customHeight="1">
      <c r="A493" s="400"/>
      <c r="B493" s="316"/>
      <c r="C493" s="1153">
        <v>8</v>
      </c>
      <c r="D493" s="317"/>
      <c r="E493" s="223" t="s">
        <v>105</v>
      </c>
      <c r="F493" s="982"/>
      <c r="G493" s="1072"/>
      <c r="H493" s="982"/>
      <c r="I493" s="982"/>
      <c r="J493" s="982"/>
      <c r="K493" s="982"/>
      <c r="L493" s="982">
        <f>50000-20000</f>
        <v>30000</v>
      </c>
      <c r="M493" s="983">
        <f t="shared" si="78"/>
        <v>30000</v>
      </c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</row>
    <row r="494" spans="1:47" s="46" customFormat="1" ht="60" customHeight="1">
      <c r="A494" s="400"/>
      <c r="B494" s="316"/>
      <c r="C494" s="1153">
        <v>9</v>
      </c>
      <c r="D494" s="317"/>
      <c r="E494" s="223" t="s">
        <v>667</v>
      </c>
      <c r="F494" s="982"/>
      <c r="G494" s="1072"/>
      <c r="H494" s="982"/>
      <c r="I494" s="982"/>
      <c r="J494" s="982"/>
      <c r="K494" s="982"/>
      <c r="L494" s="982">
        <v>10000</v>
      </c>
      <c r="M494" s="983">
        <f t="shared" si="78"/>
        <v>10000</v>
      </c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</row>
    <row r="495" spans="1:47" s="47" customFormat="1" ht="60" customHeight="1">
      <c r="A495" s="400"/>
      <c r="B495" s="316"/>
      <c r="C495" s="1153">
        <v>10</v>
      </c>
      <c r="D495" s="317"/>
      <c r="E495" s="223" t="s">
        <v>668</v>
      </c>
      <c r="F495" s="982"/>
      <c r="G495" s="1072"/>
      <c r="H495" s="982"/>
      <c r="I495" s="982"/>
      <c r="J495" s="982"/>
      <c r="K495" s="982"/>
      <c r="L495" s="982">
        <v>150000</v>
      </c>
      <c r="M495" s="983">
        <f t="shared" si="78"/>
        <v>150000</v>
      </c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</row>
    <row r="496" spans="1:47" s="47" customFormat="1" ht="60" customHeight="1">
      <c r="A496" s="400"/>
      <c r="B496" s="316"/>
      <c r="C496" s="1157">
        <v>11</v>
      </c>
      <c r="D496" s="437"/>
      <c r="E496" s="422" t="s">
        <v>155</v>
      </c>
      <c r="F496" s="988"/>
      <c r="G496" s="1073"/>
      <c r="H496" s="988"/>
      <c r="I496" s="988"/>
      <c r="J496" s="988"/>
      <c r="K496" s="988"/>
      <c r="L496" s="988">
        <v>20000</v>
      </c>
      <c r="M496" s="989">
        <f>SUM(F496:L496)</f>
        <v>20000</v>
      </c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</row>
    <row r="497" spans="1:47" s="51" customFormat="1" ht="49.5" customHeight="1">
      <c r="A497" s="956">
        <v>18</v>
      </c>
      <c r="B497" s="957">
        <v>921</v>
      </c>
      <c r="C497" s="1222"/>
      <c r="D497" s="958"/>
      <c r="E497" s="959" t="s">
        <v>106</v>
      </c>
      <c r="F497" s="960">
        <f aca="true" t="shared" si="79" ref="F497:M497">F498+F520+F530</f>
        <v>0</v>
      </c>
      <c r="G497" s="960">
        <f t="shared" si="79"/>
        <v>0</v>
      </c>
      <c r="H497" s="960">
        <f t="shared" si="79"/>
        <v>0</v>
      </c>
      <c r="I497" s="960">
        <f t="shared" si="79"/>
        <v>0</v>
      </c>
      <c r="J497" s="960">
        <f t="shared" si="79"/>
        <v>0</v>
      </c>
      <c r="K497" s="960">
        <f t="shared" si="79"/>
        <v>10500</v>
      </c>
      <c r="L497" s="960">
        <f t="shared" si="79"/>
        <v>1757862</v>
      </c>
      <c r="M497" s="960">
        <f t="shared" si="79"/>
        <v>1768362</v>
      </c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</row>
    <row r="498" spans="1:47" s="38" customFormat="1" ht="45" customHeight="1">
      <c r="A498" s="400"/>
      <c r="B498" s="327">
        <v>92109</v>
      </c>
      <c r="C498" s="1160"/>
      <c r="D498" s="328"/>
      <c r="E498" s="329" t="s">
        <v>775</v>
      </c>
      <c r="F498" s="330">
        <v>0</v>
      </c>
      <c r="G498" s="331">
        <v>0</v>
      </c>
      <c r="H498" s="330">
        <v>0</v>
      </c>
      <c r="I498" s="330">
        <v>0</v>
      </c>
      <c r="J498" s="330">
        <v>0</v>
      </c>
      <c r="K498" s="330">
        <v>0</v>
      </c>
      <c r="L498" s="1025">
        <f>L499+L500+L501+L502+L512+L513+L514+L515+L516+L517+L518+L519</f>
        <v>1164662</v>
      </c>
      <c r="M498" s="1025">
        <f>SUM(F498:L498)</f>
        <v>1164662</v>
      </c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</row>
    <row r="499" spans="1:47" s="46" customFormat="1" ht="36" customHeight="1">
      <c r="A499" s="400"/>
      <c r="B499" s="316"/>
      <c r="C499" s="1157">
        <v>1</v>
      </c>
      <c r="D499" s="1085"/>
      <c r="E499" s="1086" t="s">
        <v>725</v>
      </c>
      <c r="F499" s="1087"/>
      <c r="G499" s="1088"/>
      <c r="H499" s="1087"/>
      <c r="I499" s="1087"/>
      <c r="J499" s="1087"/>
      <c r="K499" s="1087"/>
      <c r="L499" s="1089">
        <v>13000</v>
      </c>
      <c r="M499" s="341">
        <f>SUM(F499:L499)</f>
        <v>13000</v>
      </c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</row>
    <row r="500" spans="1:47" s="46" customFormat="1" ht="36" customHeight="1">
      <c r="A500" s="400"/>
      <c r="B500" s="976"/>
      <c r="C500" s="1153">
        <v>2</v>
      </c>
      <c r="D500" s="727"/>
      <c r="E500" s="567" t="s">
        <v>99</v>
      </c>
      <c r="F500" s="1090"/>
      <c r="G500" s="1091"/>
      <c r="H500" s="1090"/>
      <c r="I500" s="1090"/>
      <c r="J500" s="1090"/>
      <c r="K500" s="1090"/>
      <c r="L500" s="320">
        <v>3000</v>
      </c>
      <c r="M500" s="192">
        <f>SUM(F500:L500)</f>
        <v>3000</v>
      </c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</row>
    <row r="501" spans="1:47" s="47" customFormat="1" ht="36" customHeight="1">
      <c r="A501" s="400"/>
      <c r="B501" s="976"/>
      <c r="C501" s="1153">
        <v>3</v>
      </c>
      <c r="D501" s="727"/>
      <c r="E501" s="567" t="s">
        <v>726</v>
      </c>
      <c r="F501" s="1090"/>
      <c r="G501" s="1091"/>
      <c r="H501" s="1090"/>
      <c r="I501" s="1090"/>
      <c r="J501" s="1090"/>
      <c r="K501" s="1090"/>
      <c r="L501" s="320">
        <v>7000</v>
      </c>
      <c r="M501" s="192">
        <f>SUM(F501:L501)</f>
        <v>7000</v>
      </c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</row>
    <row r="502" spans="1:47" s="47" customFormat="1" ht="30" customHeight="1">
      <c r="A502" s="400"/>
      <c r="B502" s="976"/>
      <c r="C502" s="1154">
        <v>4</v>
      </c>
      <c r="D502" s="757"/>
      <c r="E502" s="563" t="s">
        <v>100</v>
      </c>
      <c r="F502" s="952"/>
      <c r="G502" s="1092"/>
      <c r="H502" s="952"/>
      <c r="I502" s="952"/>
      <c r="J502" s="952"/>
      <c r="K502" s="952"/>
      <c r="L502" s="1093">
        <f>400000+L506+24932+L511</f>
        <v>706662</v>
      </c>
      <c r="M502" s="183">
        <f>SUM(F502:L502)</f>
        <v>706662</v>
      </c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</row>
    <row r="503" spans="1:13" s="12" customFormat="1" ht="25.5" customHeight="1">
      <c r="A503" s="173"/>
      <c r="B503" s="465"/>
      <c r="C503" s="1198"/>
      <c r="D503" s="458"/>
      <c r="E503" s="785" t="s">
        <v>1018</v>
      </c>
      <c r="F503" s="786"/>
      <c r="G503" s="787"/>
      <c r="H503" s="788"/>
      <c r="I503" s="788"/>
      <c r="J503" s="788"/>
      <c r="K503" s="311"/>
      <c r="L503" s="185"/>
      <c r="M503" s="187"/>
    </row>
    <row r="504" spans="1:13" s="1573" customFormat="1" ht="36" customHeight="1">
      <c r="A504" s="173"/>
      <c r="B504" s="483"/>
      <c r="C504" s="1198"/>
      <c r="D504" s="458"/>
      <c r="E504" s="785" t="s">
        <v>156</v>
      </c>
      <c r="F504" s="786"/>
      <c r="G504" s="787"/>
      <c r="H504" s="788"/>
      <c r="I504" s="788"/>
      <c r="J504" s="788"/>
      <c r="K504" s="855"/>
      <c r="L504" s="804">
        <v>358311</v>
      </c>
      <c r="M504" s="804">
        <f>SUM(F504:L504)</f>
        <v>358311</v>
      </c>
    </row>
    <row r="505" spans="1:13" s="1573" customFormat="1" ht="36" customHeight="1">
      <c r="A505" s="173"/>
      <c r="B505" s="483"/>
      <c r="C505" s="1198"/>
      <c r="D505" s="458"/>
      <c r="E505" s="785" t="s">
        <v>157</v>
      </c>
      <c r="F505" s="786"/>
      <c r="G505" s="787"/>
      <c r="H505" s="788"/>
      <c r="I505" s="788"/>
      <c r="J505" s="788"/>
      <c r="K505" s="855"/>
      <c r="L505" s="804">
        <v>66621</v>
      </c>
      <c r="M505" s="804">
        <f>SUM(F505:L505)</f>
        <v>66621</v>
      </c>
    </row>
    <row r="506" spans="1:13" s="1573" customFormat="1" ht="36" customHeight="1">
      <c r="A506" s="173"/>
      <c r="B506" s="483"/>
      <c r="C506" s="1198"/>
      <c r="D506" s="458"/>
      <c r="E506" s="785" t="s">
        <v>158</v>
      </c>
      <c r="F506" s="786"/>
      <c r="G506" s="787"/>
      <c r="H506" s="788"/>
      <c r="I506" s="788"/>
      <c r="J506" s="788"/>
      <c r="K506" s="855"/>
      <c r="L506" s="804">
        <f>SUM(L507:L510)</f>
        <v>41500</v>
      </c>
      <c r="M506" s="804">
        <f>SUM(M507:M510)</f>
        <v>41500</v>
      </c>
    </row>
    <row r="507" spans="1:47" s="50" customFormat="1" ht="69.75" customHeight="1">
      <c r="A507" s="414"/>
      <c r="B507" s="256"/>
      <c r="C507" s="1233"/>
      <c r="D507" s="263" t="s">
        <v>705</v>
      </c>
      <c r="E507" s="259" t="s">
        <v>553</v>
      </c>
      <c r="F507" s="260"/>
      <c r="G507" s="261"/>
      <c r="H507" s="260"/>
      <c r="I507" s="260"/>
      <c r="J507" s="260"/>
      <c r="K507" s="260"/>
      <c r="L507" s="262">
        <v>11000</v>
      </c>
      <c r="M507" s="262">
        <f>L507</f>
        <v>11000</v>
      </c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</row>
    <row r="508" spans="1:47" s="50" customFormat="1" ht="69.75" customHeight="1">
      <c r="A508" s="414"/>
      <c r="B508" s="256"/>
      <c r="C508" s="1233"/>
      <c r="D508" s="263" t="s">
        <v>705</v>
      </c>
      <c r="E508" s="259" t="s">
        <v>554</v>
      </c>
      <c r="F508" s="260"/>
      <c r="G508" s="261"/>
      <c r="H508" s="260"/>
      <c r="I508" s="260"/>
      <c r="J508" s="260"/>
      <c r="K508" s="260"/>
      <c r="L508" s="262">
        <v>5200</v>
      </c>
      <c r="M508" s="262">
        <f>L508</f>
        <v>5200</v>
      </c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</row>
    <row r="509" spans="1:47" s="50" customFormat="1" ht="83.25" customHeight="1">
      <c r="A509" s="414"/>
      <c r="B509" s="256"/>
      <c r="C509" s="1233"/>
      <c r="D509" s="263" t="s">
        <v>705</v>
      </c>
      <c r="E509" s="259" t="s">
        <v>555</v>
      </c>
      <c r="F509" s="260"/>
      <c r="G509" s="261"/>
      <c r="H509" s="260"/>
      <c r="I509" s="260"/>
      <c r="J509" s="260"/>
      <c r="K509" s="260"/>
      <c r="L509" s="262">
        <v>16800</v>
      </c>
      <c r="M509" s="262">
        <f>L509</f>
        <v>16800</v>
      </c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</row>
    <row r="510" spans="1:47" s="50" customFormat="1" ht="36" customHeight="1">
      <c r="A510" s="414"/>
      <c r="B510" s="256"/>
      <c r="C510" s="1234"/>
      <c r="D510" s="266" t="s">
        <v>705</v>
      </c>
      <c r="E510" s="1094" t="s">
        <v>395</v>
      </c>
      <c r="F510" s="268"/>
      <c r="G510" s="269"/>
      <c r="H510" s="268"/>
      <c r="I510" s="268"/>
      <c r="J510" s="268"/>
      <c r="K510" s="268"/>
      <c r="L510" s="270">
        <v>8500</v>
      </c>
      <c r="M510" s="270">
        <f>L510</f>
        <v>8500</v>
      </c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</row>
    <row r="511" spans="1:13" s="1573" customFormat="1" ht="114" customHeight="1">
      <c r="A511" s="173"/>
      <c r="B511" s="483"/>
      <c r="C511" s="1198"/>
      <c r="D511" s="458"/>
      <c r="E511" s="785" t="s">
        <v>413</v>
      </c>
      <c r="F511" s="786"/>
      <c r="G511" s="787"/>
      <c r="H511" s="788"/>
      <c r="I511" s="788"/>
      <c r="J511" s="788"/>
      <c r="K511" s="855"/>
      <c r="L511" s="804">
        <v>240230</v>
      </c>
      <c r="M511" s="804">
        <f>L511</f>
        <v>240230</v>
      </c>
    </row>
    <row r="512" spans="1:47" s="46" customFormat="1" ht="69.75" customHeight="1">
      <c r="A512" s="400"/>
      <c r="B512" s="976"/>
      <c r="C512" s="1153">
        <v>5</v>
      </c>
      <c r="D512" s="727"/>
      <c r="E512" s="567" t="s">
        <v>653</v>
      </c>
      <c r="F512" s="1090"/>
      <c r="G512" s="1091"/>
      <c r="H512" s="1090"/>
      <c r="I512" s="1090"/>
      <c r="J512" s="1090"/>
      <c r="K512" s="1090"/>
      <c r="L512" s="320">
        <v>8000</v>
      </c>
      <c r="M512" s="320">
        <v>8000</v>
      </c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</row>
    <row r="513" spans="1:47" s="46" customFormat="1" ht="69.75" customHeight="1">
      <c r="A513" s="400"/>
      <c r="B513" s="976"/>
      <c r="C513" s="1153">
        <v>6</v>
      </c>
      <c r="D513" s="727"/>
      <c r="E513" s="567" t="s">
        <v>654</v>
      </c>
      <c r="F513" s="1090"/>
      <c r="G513" s="1091"/>
      <c r="H513" s="1090"/>
      <c r="I513" s="1090"/>
      <c r="J513" s="1090"/>
      <c r="K513" s="1090"/>
      <c r="L513" s="320">
        <v>3000</v>
      </c>
      <c r="M513" s="320">
        <v>3000</v>
      </c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</row>
    <row r="514" spans="1:47" s="46" customFormat="1" ht="83.25" customHeight="1">
      <c r="A514" s="400"/>
      <c r="B514" s="976"/>
      <c r="C514" s="1153">
        <v>7</v>
      </c>
      <c r="D514" s="727"/>
      <c r="E514" s="567" t="s">
        <v>468</v>
      </c>
      <c r="F514" s="1090"/>
      <c r="G514" s="1091"/>
      <c r="H514" s="1090"/>
      <c r="I514" s="1090"/>
      <c r="J514" s="1090"/>
      <c r="K514" s="1090"/>
      <c r="L514" s="320">
        <v>5000</v>
      </c>
      <c r="M514" s="320">
        <v>5000</v>
      </c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</row>
    <row r="515" spans="1:47" s="46" customFormat="1" ht="69.75" customHeight="1">
      <c r="A515" s="400"/>
      <c r="B515" s="976"/>
      <c r="C515" s="1153">
        <v>8</v>
      </c>
      <c r="D515" s="727"/>
      <c r="E515" s="567" t="s">
        <v>655</v>
      </c>
      <c r="F515" s="1090"/>
      <c r="G515" s="1091"/>
      <c r="H515" s="1090"/>
      <c r="I515" s="1090"/>
      <c r="J515" s="1090"/>
      <c r="K515" s="1090"/>
      <c r="L515" s="320">
        <v>3000</v>
      </c>
      <c r="M515" s="320">
        <v>3000</v>
      </c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</row>
    <row r="516" spans="1:47" s="46" customFormat="1" ht="83.25" customHeight="1">
      <c r="A516" s="400"/>
      <c r="B516" s="976"/>
      <c r="C516" s="1153">
        <v>9</v>
      </c>
      <c r="D516" s="727"/>
      <c r="E516" s="567" t="s">
        <v>469</v>
      </c>
      <c r="F516" s="1090"/>
      <c r="G516" s="1091"/>
      <c r="H516" s="1090"/>
      <c r="I516" s="1090"/>
      <c r="J516" s="1090"/>
      <c r="K516" s="1090"/>
      <c r="L516" s="320">
        <f>3000+2000</f>
        <v>5000</v>
      </c>
      <c r="M516" s="320">
        <v>3000</v>
      </c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</row>
    <row r="517" spans="1:47" s="46" customFormat="1" ht="126" customHeight="1">
      <c r="A517" s="400"/>
      <c r="B517" s="976"/>
      <c r="C517" s="1153">
        <v>10</v>
      </c>
      <c r="D517" s="727"/>
      <c r="E517" s="567" t="s">
        <v>321</v>
      </c>
      <c r="F517" s="1090"/>
      <c r="G517" s="1091"/>
      <c r="H517" s="1090"/>
      <c r="I517" s="1090"/>
      <c r="J517" s="1090"/>
      <c r="K517" s="1090"/>
      <c r="L517" s="320">
        <v>400000</v>
      </c>
      <c r="M517" s="320">
        <v>400000</v>
      </c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</row>
    <row r="518" spans="1:13" s="46" customFormat="1" ht="69.75" customHeight="1">
      <c r="A518" s="400"/>
      <c r="B518" s="976"/>
      <c r="C518" s="1153">
        <v>11</v>
      </c>
      <c r="D518" s="727"/>
      <c r="E518" s="567" t="s">
        <v>657</v>
      </c>
      <c r="F518" s="1090"/>
      <c r="G518" s="1091"/>
      <c r="H518" s="1090"/>
      <c r="I518" s="1090"/>
      <c r="J518" s="1090"/>
      <c r="K518" s="1090"/>
      <c r="L518" s="320">
        <v>5000</v>
      </c>
      <c r="M518" s="320">
        <v>5000</v>
      </c>
    </row>
    <row r="519" spans="1:13" s="46" customFormat="1" ht="85.5" customHeight="1">
      <c r="A519" s="400"/>
      <c r="B519" s="976"/>
      <c r="C519" s="1235">
        <v>12</v>
      </c>
      <c r="D519" s="1095"/>
      <c r="E519" s="1096" t="s">
        <v>472</v>
      </c>
      <c r="F519" s="1097"/>
      <c r="G519" s="1098"/>
      <c r="H519" s="1097"/>
      <c r="I519" s="1097"/>
      <c r="J519" s="1097"/>
      <c r="K519" s="1097"/>
      <c r="L519" s="1099">
        <v>6000</v>
      </c>
      <c r="M519" s="1099">
        <v>6000</v>
      </c>
    </row>
    <row r="520" spans="1:13" s="38" customFormat="1" ht="45" customHeight="1">
      <c r="A520" s="400"/>
      <c r="B520" s="327">
        <v>92116</v>
      </c>
      <c r="C520" s="1160"/>
      <c r="D520" s="328"/>
      <c r="E520" s="329" t="s">
        <v>122</v>
      </c>
      <c r="F520" s="330">
        <v>0</v>
      </c>
      <c r="G520" s="331">
        <v>0</v>
      </c>
      <c r="H520" s="330">
        <v>0</v>
      </c>
      <c r="I520" s="330">
        <v>0</v>
      </c>
      <c r="J520" s="330">
        <v>0</v>
      </c>
      <c r="K520" s="330">
        <v>0</v>
      </c>
      <c r="L520" s="1025">
        <f>L521</f>
        <v>547000</v>
      </c>
      <c r="M520" s="1025">
        <f>M521</f>
        <v>547000</v>
      </c>
    </row>
    <row r="521" spans="1:13" s="46" customFormat="1" ht="37.5" customHeight="1">
      <c r="A521" s="400"/>
      <c r="B521" s="1100"/>
      <c r="C521" s="1159">
        <v>1</v>
      </c>
      <c r="D521" s="308"/>
      <c r="E521" s="459" t="s">
        <v>101</v>
      </c>
      <c r="F521" s="1101"/>
      <c r="G521" s="1102"/>
      <c r="H521" s="1101"/>
      <c r="I521" s="1101"/>
      <c r="J521" s="1101"/>
      <c r="K521" s="1101"/>
      <c r="L521" s="1103">
        <v>547000</v>
      </c>
      <c r="M521" s="1103">
        <f>L521</f>
        <v>547000</v>
      </c>
    </row>
    <row r="522" spans="1:13" s="11" customFormat="1" ht="23.25">
      <c r="A522" s="778"/>
      <c r="B522" s="465"/>
      <c r="C522" s="1198"/>
      <c r="D522" s="789"/>
      <c r="E522" s="785" t="s">
        <v>706</v>
      </c>
      <c r="F522" s="791"/>
      <c r="G522" s="792"/>
      <c r="H522" s="793"/>
      <c r="I522" s="793"/>
      <c r="J522" s="793"/>
      <c r="K522" s="794"/>
      <c r="L522" s="795"/>
      <c r="M522" s="795"/>
    </row>
    <row r="523" spans="1:13" s="1573" customFormat="1" ht="23.25">
      <c r="A523" s="173"/>
      <c r="B523" s="483"/>
      <c r="C523" s="1198"/>
      <c r="D523" s="458"/>
      <c r="E523" s="785" t="s">
        <v>159</v>
      </c>
      <c r="F523" s="1946"/>
      <c r="G523" s="1947"/>
      <c r="H523" s="1948"/>
      <c r="I523" s="1948"/>
      <c r="J523" s="1948"/>
      <c r="K523" s="855"/>
      <c r="L523" s="804"/>
      <c r="M523" s="804"/>
    </row>
    <row r="524" spans="1:13" s="1573" customFormat="1" ht="23.25">
      <c r="A524" s="173"/>
      <c r="B524" s="483"/>
      <c r="C524" s="1198"/>
      <c r="D524" s="458"/>
      <c r="E524" s="785" t="s">
        <v>160</v>
      </c>
      <c r="F524" s="1946"/>
      <c r="G524" s="1947"/>
      <c r="H524" s="1948"/>
      <c r="I524" s="1948"/>
      <c r="J524" s="1948"/>
      <c r="K524" s="855"/>
      <c r="L524" s="804"/>
      <c r="M524" s="804"/>
    </row>
    <row r="525" spans="1:13" s="1573" customFormat="1" ht="23.25">
      <c r="A525" s="173"/>
      <c r="B525" s="483"/>
      <c r="C525" s="1198"/>
      <c r="D525" s="458"/>
      <c r="E525" s="785" t="s">
        <v>158</v>
      </c>
      <c r="F525" s="1946"/>
      <c r="G525" s="1947"/>
      <c r="H525" s="1948"/>
      <c r="I525" s="1948"/>
      <c r="J525" s="1948"/>
      <c r="K525" s="855"/>
      <c r="L525" s="804"/>
      <c r="M525" s="804"/>
    </row>
    <row r="526" spans="1:47" s="50" customFormat="1" ht="57" customHeight="1">
      <c r="A526" s="414"/>
      <c r="B526" s="256"/>
      <c r="C526" s="1233"/>
      <c r="D526" s="263"/>
      <c r="E526" s="1104" t="s">
        <v>161</v>
      </c>
      <c r="F526" s="260"/>
      <c r="G526" s="261"/>
      <c r="H526" s="260"/>
      <c r="I526" s="260"/>
      <c r="J526" s="260"/>
      <c r="K526" s="260"/>
      <c r="L526" s="262"/>
      <c r="M526" s="262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</row>
    <row r="527" spans="1:47" s="50" customFormat="1" ht="49.5" customHeight="1">
      <c r="A527" s="414"/>
      <c r="B527" s="256"/>
      <c r="C527" s="1233"/>
      <c r="D527" s="263"/>
      <c r="E527" s="1104" t="s">
        <v>162</v>
      </c>
      <c r="F527" s="260"/>
      <c r="G527" s="261"/>
      <c r="H527" s="260"/>
      <c r="I527" s="260"/>
      <c r="J527" s="260"/>
      <c r="K527" s="260"/>
      <c r="L527" s="262"/>
      <c r="M527" s="262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</row>
    <row r="528" spans="1:47" s="50" customFormat="1" ht="81" customHeight="1">
      <c r="A528" s="414"/>
      <c r="B528" s="256"/>
      <c r="C528" s="1233"/>
      <c r="D528" s="263"/>
      <c r="E528" s="1104" t="s">
        <v>982</v>
      </c>
      <c r="F528" s="260"/>
      <c r="G528" s="261"/>
      <c r="H528" s="260"/>
      <c r="I528" s="260"/>
      <c r="J528" s="260"/>
      <c r="K528" s="260"/>
      <c r="L528" s="262"/>
      <c r="M528" s="262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</row>
    <row r="529" spans="1:47" s="50" customFormat="1" ht="57" customHeight="1">
      <c r="A529" s="414"/>
      <c r="B529" s="256"/>
      <c r="C529" s="1233"/>
      <c r="D529" s="263"/>
      <c r="E529" s="1104" t="s">
        <v>983</v>
      </c>
      <c r="F529" s="260"/>
      <c r="G529" s="261"/>
      <c r="H529" s="260"/>
      <c r="I529" s="260"/>
      <c r="J529" s="260"/>
      <c r="K529" s="260"/>
      <c r="L529" s="262"/>
      <c r="M529" s="262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</row>
    <row r="530" spans="1:13" s="38" customFormat="1" ht="45.75" customHeight="1">
      <c r="A530" s="400"/>
      <c r="B530" s="327">
        <v>92195</v>
      </c>
      <c r="C530" s="1160"/>
      <c r="D530" s="328"/>
      <c r="E530" s="329" t="s">
        <v>24</v>
      </c>
      <c r="F530" s="1025">
        <f aca="true" t="shared" si="80" ref="F530:K530">SUM(F531:F537)</f>
        <v>0</v>
      </c>
      <c r="G530" s="1025">
        <f t="shared" si="80"/>
        <v>0</v>
      </c>
      <c r="H530" s="1025">
        <f t="shared" si="80"/>
        <v>0</v>
      </c>
      <c r="I530" s="1025">
        <f t="shared" si="80"/>
        <v>0</v>
      </c>
      <c r="J530" s="1025">
        <f t="shared" si="80"/>
        <v>0</v>
      </c>
      <c r="K530" s="1025">
        <f t="shared" si="80"/>
        <v>10500</v>
      </c>
      <c r="L530" s="1025">
        <f>SUM(L531:L537)</f>
        <v>46200</v>
      </c>
      <c r="M530" s="1025">
        <f>SUM(M531:M537)</f>
        <v>56700</v>
      </c>
    </row>
    <row r="531" spans="1:13" s="46" customFormat="1" ht="189" customHeight="1">
      <c r="A531" s="400"/>
      <c r="B531" s="976"/>
      <c r="C531" s="1157">
        <v>1</v>
      </c>
      <c r="D531" s="181"/>
      <c r="E531" s="182" t="s">
        <v>322</v>
      </c>
      <c r="F531" s="651"/>
      <c r="G531" s="652"/>
      <c r="H531" s="651"/>
      <c r="I531" s="651"/>
      <c r="J531" s="651"/>
      <c r="K531" s="183">
        <v>10500</v>
      </c>
      <c r="L531" s="183">
        <v>0</v>
      </c>
      <c r="M531" s="183">
        <f>SUM(F531:L531)</f>
        <v>10500</v>
      </c>
    </row>
    <row r="532" spans="1:13" s="46" customFormat="1" ht="56.25" customHeight="1">
      <c r="A532" s="400"/>
      <c r="B532" s="976"/>
      <c r="C532" s="1154">
        <v>2</v>
      </c>
      <c r="D532" s="757"/>
      <c r="E532" s="563" t="s">
        <v>3</v>
      </c>
      <c r="F532" s="952"/>
      <c r="G532" s="1092"/>
      <c r="H532" s="952"/>
      <c r="I532" s="952"/>
      <c r="J532" s="952"/>
      <c r="K532" s="952"/>
      <c r="L532" s="1093">
        <v>10000</v>
      </c>
      <c r="M532" s="1093">
        <f>SUM(F532:L532)</f>
        <v>10000</v>
      </c>
    </row>
    <row r="533" spans="1:13" s="46" customFormat="1" ht="32.25" customHeight="1">
      <c r="A533" s="400"/>
      <c r="B533" s="976"/>
      <c r="C533" s="1153">
        <v>3</v>
      </c>
      <c r="D533" s="727"/>
      <c r="E533" s="567" t="s">
        <v>603</v>
      </c>
      <c r="F533" s="1090"/>
      <c r="G533" s="1091"/>
      <c r="H533" s="1090"/>
      <c r="I533" s="1090"/>
      <c r="J533" s="1090"/>
      <c r="K533" s="1090"/>
      <c r="L533" s="320">
        <v>3000</v>
      </c>
      <c r="M533" s="320">
        <v>3000</v>
      </c>
    </row>
    <row r="534" spans="1:13" s="46" customFormat="1" ht="35.25" customHeight="1">
      <c r="A534" s="400"/>
      <c r="B534" s="976"/>
      <c r="C534" s="1153">
        <v>4</v>
      </c>
      <c r="D534" s="727"/>
      <c r="E534" s="567" t="s">
        <v>604</v>
      </c>
      <c r="F534" s="1090"/>
      <c r="G534" s="1091"/>
      <c r="H534" s="1090"/>
      <c r="I534" s="1090"/>
      <c r="J534" s="1090"/>
      <c r="K534" s="1090"/>
      <c r="L534" s="320">
        <v>1000</v>
      </c>
      <c r="M534" s="320">
        <v>1000</v>
      </c>
    </row>
    <row r="535" spans="1:13" s="46" customFormat="1" ht="79.5" customHeight="1">
      <c r="A535" s="400"/>
      <c r="B535" s="976"/>
      <c r="C535" s="1153">
        <v>5</v>
      </c>
      <c r="D535" s="727"/>
      <c r="E535" s="567" t="s">
        <v>605</v>
      </c>
      <c r="F535" s="1090"/>
      <c r="G535" s="1091"/>
      <c r="H535" s="1090"/>
      <c r="I535" s="1090"/>
      <c r="J535" s="1090"/>
      <c r="K535" s="1090"/>
      <c r="L535" s="320">
        <v>1200</v>
      </c>
      <c r="M535" s="320">
        <v>1200</v>
      </c>
    </row>
    <row r="536" spans="1:13" s="46" customFormat="1" ht="33" customHeight="1">
      <c r="A536" s="400"/>
      <c r="B536" s="976"/>
      <c r="C536" s="1235">
        <v>6</v>
      </c>
      <c r="D536" s="1095"/>
      <c r="E536" s="1096" t="s">
        <v>606</v>
      </c>
      <c r="F536" s="1097"/>
      <c r="G536" s="1098"/>
      <c r="H536" s="1097"/>
      <c r="I536" s="1097"/>
      <c r="J536" s="1097"/>
      <c r="K536" s="1097"/>
      <c r="L536" s="1099">
        <v>5000</v>
      </c>
      <c r="M536" s="1099">
        <v>5000</v>
      </c>
    </row>
    <row r="537" spans="1:13" s="115" customFormat="1" ht="90" customHeight="1">
      <c r="A537" s="975"/>
      <c r="B537" s="976"/>
      <c r="C537" s="1153">
        <v>7</v>
      </c>
      <c r="D537" s="222"/>
      <c r="E537" s="223" t="s">
        <v>1025</v>
      </c>
      <c r="F537" s="224"/>
      <c r="G537" s="980"/>
      <c r="H537" s="981"/>
      <c r="I537" s="981"/>
      <c r="J537" s="224"/>
      <c r="K537" s="224"/>
      <c r="L537" s="982">
        <v>26000</v>
      </c>
      <c r="M537" s="983">
        <f>L537</f>
        <v>26000</v>
      </c>
    </row>
    <row r="538" spans="1:13" s="46" customFormat="1" ht="46.5" customHeight="1">
      <c r="A538" s="151">
        <v>19</v>
      </c>
      <c r="B538" s="152">
        <v>926</v>
      </c>
      <c r="C538" s="1148"/>
      <c r="D538" s="154"/>
      <c r="E538" s="155" t="s">
        <v>123</v>
      </c>
      <c r="F538" s="156">
        <f>F539+F544</f>
        <v>0</v>
      </c>
      <c r="G538" s="156">
        <f aca="true" t="shared" si="81" ref="G538:M538">G539+G544</f>
        <v>0</v>
      </c>
      <c r="H538" s="156">
        <f t="shared" si="81"/>
        <v>0</v>
      </c>
      <c r="I538" s="156">
        <f t="shared" si="81"/>
        <v>0</v>
      </c>
      <c r="J538" s="156">
        <f t="shared" si="81"/>
        <v>0</v>
      </c>
      <c r="K538" s="156">
        <f t="shared" si="81"/>
        <v>0</v>
      </c>
      <c r="L538" s="156">
        <f t="shared" si="81"/>
        <v>122500</v>
      </c>
      <c r="M538" s="156">
        <f t="shared" si="81"/>
        <v>122500</v>
      </c>
    </row>
    <row r="539" spans="1:255" s="38" customFormat="1" ht="45.75" customHeight="1">
      <c r="A539" s="400"/>
      <c r="B539" s="327">
        <v>92605</v>
      </c>
      <c r="C539" s="1160"/>
      <c r="D539" s="328"/>
      <c r="E539" s="329" t="s">
        <v>764</v>
      </c>
      <c r="F539" s="330">
        <v>0</v>
      </c>
      <c r="G539" s="331">
        <v>0</v>
      </c>
      <c r="H539" s="330">
        <v>0</v>
      </c>
      <c r="I539" s="330">
        <v>0</v>
      </c>
      <c r="J539" s="330">
        <v>0</v>
      </c>
      <c r="K539" s="330">
        <v>0</v>
      </c>
      <c r="L539" s="1025">
        <f>SUM(L540:L543)</f>
        <v>22500</v>
      </c>
      <c r="M539" s="1025">
        <f>SUM(F539:L539)</f>
        <v>22500</v>
      </c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54"/>
      <c r="DJ539" s="54"/>
      <c r="DK539" s="54"/>
      <c r="DL539" s="54"/>
      <c r="DM539" s="54"/>
      <c r="DN539" s="54"/>
      <c r="DO539" s="54"/>
      <c r="DP539" s="54"/>
      <c r="DQ539" s="54"/>
      <c r="DR539" s="54"/>
      <c r="DS539" s="54"/>
      <c r="DT539" s="54"/>
      <c r="DU539" s="54"/>
      <c r="DV539" s="54"/>
      <c r="DW539" s="54"/>
      <c r="DX539" s="54"/>
      <c r="DY539" s="54"/>
      <c r="DZ539" s="54"/>
      <c r="EA539" s="54"/>
      <c r="EB539" s="54"/>
      <c r="EC539" s="54"/>
      <c r="ED539" s="54"/>
      <c r="EE539" s="54"/>
      <c r="EF539" s="54"/>
      <c r="EG539" s="54"/>
      <c r="EH539" s="54"/>
      <c r="EI539" s="54"/>
      <c r="EJ539" s="54"/>
      <c r="EK539" s="54"/>
      <c r="EL539" s="54"/>
      <c r="EM539" s="54"/>
      <c r="EN539" s="54"/>
      <c r="EO539" s="20"/>
      <c r="EP539" s="21"/>
      <c r="EQ539" s="19"/>
      <c r="ER539" s="15"/>
      <c r="ES539" s="15"/>
      <c r="ET539" s="15"/>
      <c r="EU539" s="15"/>
      <c r="EV539" s="15"/>
      <c r="EW539" s="15"/>
      <c r="EX539" s="15"/>
      <c r="EY539" s="16"/>
      <c r="EZ539" s="17"/>
      <c r="FA539" s="14"/>
      <c r="FB539" s="20"/>
      <c r="FC539" s="21"/>
      <c r="FD539" s="19"/>
      <c r="FE539" s="15"/>
      <c r="FF539" s="15"/>
      <c r="FG539" s="15"/>
      <c r="FH539" s="15"/>
      <c r="FI539" s="15"/>
      <c r="FJ539" s="15"/>
      <c r="FK539" s="15"/>
      <c r="FL539" s="16"/>
      <c r="FM539" s="17"/>
      <c r="FN539" s="14"/>
      <c r="FO539" s="20"/>
      <c r="FP539" s="21"/>
      <c r="FQ539" s="19"/>
      <c r="FR539" s="15"/>
      <c r="FS539" s="15"/>
      <c r="FT539" s="15"/>
      <c r="FU539" s="15"/>
      <c r="FV539" s="15"/>
      <c r="FW539" s="15"/>
      <c r="FX539" s="15"/>
      <c r="FY539" s="16"/>
      <c r="FZ539" s="17"/>
      <c r="GA539" s="14"/>
      <c r="GB539" s="20"/>
      <c r="GC539" s="21"/>
      <c r="GD539" s="19"/>
      <c r="GE539" s="15"/>
      <c r="GF539" s="15"/>
      <c r="GG539" s="15"/>
      <c r="GH539" s="15"/>
      <c r="GI539" s="15"/>
      <c r="GJ539" s="15"/>
      <c r="GK539" s="15"/>
      <c r="GL539" s="16"/>
      <c r="GM539" s="17"/>
      <c r="GN539" s="14"/>
      <c r="GO539" s="20"/>
      <c r="GP539" s="21"/>
      <c r="GQ539" s="19"/>
      <c r="GR539" s="15"/>
      <c r="GS539" s="15"/>
      <c r="GT539" s="15"/>
      <c r="GU539" s="15"/>
      <c r="GV539" s="15"/>
      <c r="GW539" s="15"/>
      <c r="GX539" s="15"/>
      <c r="GY539" s="16"/>
      <c r="GZ539" s="17"/>
      <c r="HA539" s="14"/>
      <c r="HB539" s="20"/>
      <c r="HC539" s="21"/>
      <c r="HD539" s="19"/>
      <c r="HE539" s="15"/>
      <c r="HF539" s="15"/>
      <c r="HG539" s="15"/>
      <c r="HH539" s="15"/>
      <c r="HI539" s="15"/>
      <c r="HJ539" s="15"/>
      <c r="HK539" s="15"/>
      <c r="HL539" s="16"/>
      <c r="HM539" s="17"/>
      <c r="HN539" s="14"/>
      <c r="HO539" s="20"/>
      <c r="HP539" s="21"/>
      <c r="HQ539" s="19"/>
      <c r="HR539" s="15"/>
      <c r="HS539" s="15"/>
      <c r="HT539" s="15"/>
      <c r="HU539" s="15"/>
      <c r="HV539" s="15"/>
      <c r="HW539" s="15"/>
      <c r="HX539" s="15"/>
      <c r="HY539" s="16"/>
      <c r="HZ539" s="17"/>
      <c r="IA539" s="14"/>
      <c r="IB539" s="20"/>
      <c r="IC539" s="21"/>
      <c r="ID539" s="19"/>
      <c r="IE539" s="15"/>
      <c r="IF539" s="15"/>
      <c r="IG539" s="15"/>
      <c r="IH539" s="15"/>
      <c r="II539" s="15"/>
      <c r="IJ539" s="15"/>
      <c r="IK539" s="15"/>
      <c r="IL539" s="16"/>
      <c r="IM539" s="17"/>
      <c r="IN539" s="14"/>
      <c r="IO539" s="20"/>
      <c r="IP539" s="21"/>
      <c r="IQ539" s="19"/>
      <c r="IR539" s="15"/>
      <c r="IS539" s="15"/>
      <c r="IT539" s="15"/>
      <c r="IU539" s="15"/>
    </row>
    <row r="540" spans="1:255" s="118" customFormat="1" ht="57" customHeight="1">
      <c r="A540" s="1105"/>
      <c r="B540" s="1100"/>
      <c r="C540" s="1159">
        <v>1</v>
      </c>
      <c r="D540" s="308"/>
      <c r="E540" s="459" t="s">
        <v>607</v>
      </c>
      <c r="F540" s="1101"/>
      <c r="G540" s="1102"/>
      <c r="H540" s="1101"/>
      <c r="I540" s="1101"/>
      <c r="J540" s="1101"/>
      <c r="K540" s="1101"/>
      <c r="L540" s="1103">
        <v>8000</v>
      </c>
      <c r="M540" s="1103">
        <f>SUM(F540:L540)</f>
        <v>8000</v>
      </c>
      <c r="EO540" s="117"/>
      <c r="EP540" s="117"/>
      <c r="EQ540" s="70"/>
      <c r="ER540" s="119"/>
      <c r="ES540" s="119"/>
      <c r="ET540" s="119"/>
      <c r="EU540" s="119"/>
      <c r="EV540" s="119"/>
      <c r="EW540" s="119"/>
      <c r="EX540" s="119"/>
      <c r="EY540" s="120"/>
      <c r="EZ540" s="116"/>
      <c r="FA540" s="121"/>
      <c r="FB540" s="117"/>
      <c r="FC540" s="117"/>
      <c r="FD540" s="70"/>
      <c r="FE540" s="119"/>
      <c r="FF540" s="119"/>
      <c r="FG540" s="119"/>
      <c r="FH540" s="119"/>
      <c r="FI540" s="119"/>
      <c r="FJ540" s="119"/>
      <c r="FK540" s="119"/>
      <c r="FL540" s="120"/>
      <c r="FM540" s="116"/>
      <c r="FN540" s="121"/>
      <c r="FO540" s="117"/>
      <c r="FP540" s="117"/>
      <c r="FQ540" s="70"/>
      <c r="FR540" s="119"/>
      <c r="FS540" s="119"/>
      <c r="FT540" s="119"/>
      <c r="FU540" s="119"/>
      <c r="FV540" s="119"/>
      <c r="FW540" s="119"/>
      <c r="FX540" s="119"/>
      <c r="FY540" s="120"/>
      <c r="FZ540" s="116"/>
      <c r="GA540" s="121"/>
      <c r="GB540" s="117"/>
      <c r="GC540" s="117"/>
      <c r="GD540" s="70"/>
      <c r="GE540" s="119"/>
      <c r="GF540" s="119"/>
      <c r="GG540" s="119"/>
      <c r="GH540" s="119"/>
      <c r="GI540" s="119"/>
      <c r="GJ540" s="119"/>
      <c r="GK540" s="119"/>
      <c r="GL540" s="120"/>
      <c r="GM540" s="116"/>
      <c r="GN540" s="121"/>
      <c r="GO540" s="117"/>
      <c r="GP540" s="117"/>
      <c r="GQ540" s="70"/>
      <c r="GR540" s="119"/>
      <c r="GS540" s="119"/>
      <c r="GT540" s="119"/>
      <c r="GU540" s="119"/>
      <c r="GV540" s="119"/>
      <c r="GW540" s="119"/>
      <c r="GX540" s="119"/>
      <c r="GY540" s="120"/>
      <c r="GZ540" s="116"/>
      <c r="HA540" s="121"/>
      <c r="HB540" s="117"/>
      <c r="HC540" s="117"/>
      <c r="HD540" s="70"/>
      <c r="HE540" s="119"/>
      <c r="HF540" s="119"/>
      <c r="HG540" s="119"/>
      <c r="HH540" s="119"/>
      <c r="HI540" s="119"/>
      <c r="HJ540" s="119"/>
      <c r="HK540" s="119"/>
      <c r="HL540" s="120"/>
      <c r="HM540" s="116"/>
      <c r="HN540" s="121"/>
      <c r="HO540" s="117"/>
      <c r="HP540" s="117"/>
      <c r="HQ540" s="70"/>
      <c r="HR540" s="119"/>
      <c r="HS540" s="119"/>
      <c r="HT540" s="119"/>
      <c r="HU540" s="119"/>
      <c r="HV540" s="119"/>
      <c r="HW540" s="119"/>
      <c r="HX540" s="119"/>
      <c r="HY540" s="120"/>
      <c r="HZ540" s="116"/>
      <c r="IA540" s="121"/>
      <c r="IB540" s="117"/>
      <c r="IC540" s="117"/>
      <c r="ID540" s="70"/>
      <c r="IE540" s="119"/>
      <c r="IF540" s="119"/>
      <c r="IG540" s="119"/>
      <c r="IH540" s="119"/>
      <c r="II540" s="119"/>
      <c r="IJ540" s="119"/>
      <c r="IK540" s="119"/>
      <c r="IL540" s="120"/>
      <c r="IM540" s="116"/>
      <c r="IN540" s="121"/>
      <c r="IO540" s="117"/>
      <c r="IP540" s="117"/>
      <c r="IQ540" s="70"/>
      <c r="IR540" s="119"/>
      <c r="IS540" s="119"/>
      <c r="IT540" s="119"/>
      <c r="IU540" s="119"/>
    </row>
    <row r="541" spans="1:255" s="47" customFormat="1" ht="63.75" customHeight="1">
      <c r="A541" s="400"/>
      <c r="B541" s="976"/>
      <c r="C541" s="1153">
        <v>2</v>
      </c>
      <c r="D541" s="727"/>
      <c r="E541" s="567" t="s">
        <v>608</v>
      </c>
      <c r="F541" s="1090"/>
      <c r="G541" s="1091"/>
      <c r="H541" s="1090"/>
      <c r="I541" s="1090"/>
      <c r="J541" s="1090"/>
      <c r="K541" s="1090"/>
      <c r="L541" s="320">
        <v>5000</v>
      </c>
      <c r="M541" s="320">
        <f>SUM(F541:L541)</f>
        <v>5000</v>
      </c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  <c r="AD541" s="122"/>
      <c r="AE541" s="122"/>
      <c r="AF541" s="122"/>
      <c r="AG541" s="122"/>
      <c r="AH541" s="122"/>
      <c r="AI541" s="122"/>
      <c r="AJ541" s="122"/>
      <c r="AK541" s="122"/>
      <c r="AL541" s="122"/>
      <c r="AM541" s="122"/>
      <c r="AN541" s="122"/>
      <c r="AO541" s="122"/>
      <c r="AP541" s="122"/>
      <c r="AQ541" s="122"/>
      <c r="AR541" s="122"/>
      <c r="AS541" s="122"/>
      <c r="AT541" s="122"/>
      <c r="AU541" s="122"/>
      <c r="AV541" s="122"/>
      <c r="AW541" s="122"/>
      <c r="AX541" s="122"/>
      <c r="AY541" s="122"/>
      <c r="AZ541" s="122"/>
      <c r="BA541" s="122"/>
      <c r="BB541" s="122"/>
      <c r="BC541" s="122"/>
      <c r="BD541" s="122"/>
      <c r="BE541" s="122"/>
      <c r="BF541" s="122"/>
      <c r="BG541" s="122"/>
      <c r="BH541" s="122"/>
      <c r="BI541" s="122"/>
      <c r="BJ541" s="122"/>
      <c r="BK541" s="122"/>
      <c r="BL541" s="122"/>
      <c r="BM541" s="122"/>
      <c r="BN541" s="122"/>
      <c r="BO541" s="122"/>
      <c r="BP541" s="122"/>
      <c r="BQ541" s="122"/>
      <c r="BR541" s="122"/>
      <c r="BS541" s="122"/>
      <c r="BT541" s="122"/>
      <c r="BU541" s="122"/>
      <c r="BV541" s="122"/>
      <c r="BW541" s="122"/>
      <c r="BX541" s="122"/>
      <c r="BY541" s="122"/>
      <c r="BZ541" s="122"/>
      <c r="CA541" s="122"/>
      <c r="CB541" s="122"/>
      <c r="CC541" s="122"/>
      <c r="CD541" s="122"/>
      <c r="CE541" s="122"/>
      <c r="CF541" s="122"/>
      <c r="CG541" s="122"/>
      <c r="CH541" s="122"/>
      <c r="CI541" s="122"/>
      <c r="CJ541" s="122"/>
      <c r="CK541" s="122"/>
      <c r="CL541" s="122"/>
      <c r="CM541" s="122"/>
      <c r="CN541" s="122"/>
      <c r="CO541" s="122"/>
      <c r="CP541" s="122"/>
      <c r="CQ541" s="122"/>
      <c r="CR541" s="122"/>
      <c r="CS541" s="122"/>
      <c r="CT541" s="122"/>
      <c r="CU541" s="122"/>
      <c r="CV541" s="122"/>
      <c r="CW541" s="122"/>
      <c r="CX541" s="122"/>
      <c r="CY541" s="122"/>
      <c r="CZ541" s="122"/>
      <c r="DA541" s="122"/>
      <c r="DB541" s="122"/>
      <c r="DC541" s="122"/>
      <c r="DD541" s="122"/>
      <c r="DE541" s="122"/>
      <c r="DF541" s="122"/>
      <c r="DG541" s="122"/>
      <c r="DH541" s="122"/>
      <c r="DI541" s="122"/>
      <c r="DJ541" s="122"/>
      <c r="DK541" s="122"/>
      <c r="DL541" s="122"/>
      <c r="DM541" s="122"/>
      <c r="DN541" s="122"/>
      <c r="DO541" s="122"/>
      <c r="DP541" s="122"/>
      <c r="DQ541" s="122"/>
      <c r="DR541" s="122"/>
      <c r="DS541" s="122"/>
      <c r="DT541" s="122"/>
      <c r="DU541" s="122"/>
      <c r="DV541" s="122"/>
      <c r="DW541" s="122"/>
      <c r="DX541" s="122"/>
      <c r="DY541" s="122"/>
      <c r="DZ541" s="122"/>
      <c r="EA541" s="122"/>
      <c r="EB541" s="122"/>
      <c r="EC541" s="122"/>
      <c r="ED541" s="122"/>
      <c r="EE541" s="122"/>
      <c r="EF541" s="122"/>
      <c r="EG541" s="122"/>
      <c r="EH541" s="122"/>
      <c r="EI541" s="122"/>
      <c r="EJ541" s="122"/>
      <c r="EK541" s="122"/>
      <c r="EL541" s="122"/>
      <c r="EM541" s="122"/>
      <c r="EN541" s="122"/>
      <c r="EO541" s="123"/>
      <c r="EP541" s="123"/>
      <c r="EQ541" s="124"/>
      <c r="ER541" s="125"/>
      <c r="ES541" s="125"/>
      <c r="ET541" s="125"/>
      <c r="EU541" s="125"/>
      <c r="EV541" s="125"/>
      <c r="EW541" s="125"/>
      <c r="EX541" s="125"/>
      <c r="EY541" s="126"/>
      <c r="EZ541" s="22"/>
      <c r="FA541" s="127"/>
      <c r="FB541" s="123"/>
      <c r="FC541" s="123"/>
      <c r="FD541" s="124"/>
      <c r="FE541" s="125"/>
      <c r="FF541" s="125"/>
      <c r="FG541" s="125"/>
      <c r="FH541" s="125"/>
      <c r="FI541" s="125"/>
      <c r="FJ541" s="125"/>
      <c r="FK541" s="125"/>
      <c r="FL541" s="126"/>
      <c r="FM541" s="22"/>
      <c r="FN541" s="127"/>
      <c r="FO541" s="123"/>
      <c r="FP541" s="123"/>
      <c r="FQ541" s="124"/>
      <c r="FR541" s="125"/>
      <c r="FS541" s="125"/>
      <c r="FT541" s="125"/>
      <c r="FU541" s="125"/>
      <c r="FV541" s="125"/>
      <c r="FW541" s="125"/>
      <c r="FX541" s="125"/>
      <c r="FY541" s="126"/>
      <c r="FZ541" s="22"/>
      <c r="GA541" s="127"/>
      <c r="GB541" s="123"/>
      <c r="GC541" s="123"/>
      <c r="GD541" s="124"/>
      <c r="GE541" s="125"/>
      <c r="GF541" s="125"/>
      <c r="GG541" s="125"/>
      <c r="GH541" s="125"/>
      <c r="GI541" s="125"/>
      <c r="GJ541" s="125"/>
      <c r="GK541" s="125"/>
      <c r="GL541" s="126"/>
      <c r="GM541" s="22"/>
      <c r="GN541" s="127"/>
      <c r="GO541" s="123"/>
      <c r="GP541" s="123"/>
      <c r="GQ541" s="124"/>
      <c r="GR541" s="125"/>
      <c r="GS541" s="125"/>
      <c r="GT541" s="125"/>
      <c r="GU541" s="125"/>
      <c r="GV541" s="125"/>
      <c r="GW541" s="125"/>
      <c r="GX541" s="125"/>
      <c r="GY541" s="126"/>
      <c r="GZ541" s="22"/>
      <c r="HA541" s="127"/>
      <c r="HB541" s="123"/>
      <c r="HC541" s="123"/>
      <c r="HD541" s="124"/>
      <c r="HE541" s="125"/>
      <c r="HF541" s="125"/>
      <c r="HG541" s="125"/>
      <c r="HH541" s="125"/>
      <c r="HI541" s="125"/>
      <c r="HJ541" s="125"/>
      <c r="HK541" s="125"/>
      <c r="HL541" s="126"/>
      <c r="HM541" s="22"/>
      <c r="HN541" s="127"/>
      <c r="HO541" s="123"/>
      <c r="HP541" s="123"/>
      <c r="HQ541" s="124"/>
      <c r="HR541" s="125"/>
      <c r="HS541" s="125"/>
      <c r="HT541" s="125"/>
      <c r="HU541" s="125"/>
      <c r="HV541" s="125"/>
      <c r="HW541" s="125"/>
      <c r="HX541" s="125"/>
      <c r="HY541" s="126"/>
      <c r="HZ541" s="22"/>
      <c r="IA541" s="127"/>
      <c r="IB541" s="123"/>
      <c r="IC541" s="123"/>
      <c r="ID541" s="124"/>
      <c r="IE541" s="125"/>
      <c r="IF541" s="125"/>
      <c r="IG541" s="125"/>
      <c r="IH541" s="125"/>
      <c r="II541" s="125"/>
      <c r="IJ541" s="125"/>
      <c r="IK541" s="125"/>
      <c r="IL541" s="126"/>
      <c r="IM541" s="22"/>
      <c r="IN541" s="127"/>
      <c r="IO541" s="123"/>
      <c r="IP541" s="123"/>
      <c r="IQ541" s="124"/>
      <c r="IR541" s="125"/>
      <c r="IS541" s="125"/>
      <c r="IT541" s="125"/>
      <c r="IU541" s="125"/>
    </row>
    <row r="542" spans="1:255" s="46" customFormat="1" ht="137.25" customHeight="1">
      <c r="A542" s="400"/>
      <c r="B542" s="976"/>
      <c r="C542" s="1153">
        <v>3</v>
      </c>
      <c r="D542" s="727"/>
      <c r="E542" s="567" t="s">
        <v>1027</v>
      </c>
      <c r="F542" s="1090"/>
      <c r="G542" s="1091"/>
      <c r="H542" s="1090"/>
      <c r="I542" s="1090"/>
      <c r="J542" s="1090"/>
      <c r="K542" s="1090"/>
      <c r="L542" s="320">
        <v>5000</v>
      </c>
      <c r="M542" s="320">
        <f>SUM(F542:L542)</f>
        <v>5000</v>
      </c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  <c r="AB542" s="128"/>
      <c r="AC542" s="128"/>
      <c r="AD542" s="128"/>
      <c r="AE542" s="128"/>
      <c r="AF542" s="128"/>
      <c r="AG542" s="128"/>
      <c r="AH542" s="128"/>
      <c r="AI542" s="128"/>
      <c r="AJ542" s="128"/>
      <c r="AK542" s="128"/>
      <c r="AL542" s="128"/>
      <c r="AM542" s="128"/>
      <c r="AN542" s="128"/>
      <c r="AO542" s="128"/>
      <c r="AP542" s="128"/>
      <c r="AQ542" s="128"/>
      <c r="AR542" s="128"/>
      <c r="AS542" s="128"/>
      <c r="AT542" s="128"/>
      <c r="AU542" s="128"/>
      <c r="AV542" s="128"/>
      <c r="AW542" s="128"/>
      <c r="AX542" s="128"/>
      <c r="AY542" s="128"/>
      <c r="AZ542" s="128"/>
      <c r="BA542" s="128"/>
      <c r="BB542" s="128"/>
      <c r="BC542" s="128"/>
      <c r="BD542" s="128"/>
      <c r="BE542" s="128"/>
      <c r="BF542" s="128"/>
      <c r="BG542" s="128"/>
      <c r="BH542" s="128"/>
      <c r="BI542" s="128"/>
      <c r="BJ542" s="128"/>
      <c r="BK542" s="128"/>
      <c r="BL542" s="128"/>
      <c r="BM542" s="128"/>
      <c r="BN542" s="128"/>
      <c r="BO542" s="128"/>
      <c r="BP542" s="128"/>
      <c r="BQ542" s="128"/>
      <c r="BR542" s="128"/>
      <c r="BS542" s="128"/>
      <c r="BT542" s="128"/>
      <c r="BU542" s="128"/>
      <c r="BV542" s="128"/>
      <c r="BW542" s="128"/>
      <c r="BX542" s="128"/>
      <c r="BY542" s="128"/>
      <c r="BZ542" s="128"/>
      <c r="CA542" s="128"/>
      <c r="CB542" s="128"/>
      <c r="CC542" s="128"/>
      <c r="CD542" s="128"/>
      <c r="CE542" s="128"/>
      <c r="CF542" s="128"/>
      <c r="CG542" s="128"/>
      <c r="CH542" s="128"/>
      <c r="CI542" s="128"/>
      <c r="CJ542" s="128"/>
      <c r="CK542" s="128"/>
      <c r="CL542" s="128"/>
      <c r="CM542" s="128"/>
      <c r="CN542" s="128"/>
      <c r="CO542" s="128"/>
      <c r="CP542" s="128"/>
      <c r="CQ542" s="128"/>
      <c r="CR542" s="128"/>
      <c r="CS542" s="128"/>
      <c r="CT542" s="128"/>
      <c r="CU542" s="128"/>
      <c r="CV542" s="128"/>
      <c r="CW542" s="128"/>
      <c r="CX542" s="128"/>
      <c r="CY542" s="128"/>
      <c r="CZ542" s="128"/>
      <c r="DA542" s="128"/>
      <c r="DB542" s="128"/>
      <c r="DC542" s="128"/>
      <c r="DD542" s="128"/>
      <c r="DE542" s="128"/>
      <c r="DF542" s="128"/>
      <c r="DG542" s="128"/>
      <c r="DH542" s="128"/>
      <c r="DI542" s="128"/>
      <c r="DJ542" s="128"/>
      <c r="DK542" s="128"/>
      <c r="DL542" s="128"/>
      <c r="DM542" s="128"/>
      <c r="DN542" s="128"/>
      <c r="DO542" s="128"/>
      <c r="DP542" s="128"/>
      <c r="DQ542" s="128"/>
      <c r="DR542" s="128"/>
      <c r="DS542" s="128"/>
      <c r="DT542" s="128"/>
      <c r="DU542" s="128"/>
      <c r="DV542" s="128"/>
      <c r="DW542" s="128"/>
      <c r="DX542" s="128"/>
      <c r="DY542" s="128"/>
      <c r="DZ542" s="128"/>
      <c r="EA542" s="128"/>
      <c r="EB542" s="128"/>
      <c r="EC542" s="128"/>
      <c r="ED542" s="128"/>
      <c r="EE542" s="128"/>
      <c r="EF542" s="128"/>
      <c r="EG542" s="128"/>
      <c r="EH542" s="128"/>
      <c r="EI542" s="128"/>
      <c r="EJ542" s="128"/>
      <c r="EK542" s="128"/>
      <c r="EL542" s="128"/>
      <c r="EM542" s="128"/>
      <c r="EN542" s="128"/>
      <c r="EO542" s="129"/>
      <c r="EP542" s="130"/>
      <c r="EQ542" s="131"/>
      <c r="ER542" s="132"/>
      <c r="ES542" s="132"/>
      <c r="ET542" s="132"/>
      <c r="EU542" s="132"/>
      <c r="EV542" s="132"/>
      <c r="EW542" s="132"/>
      <c r="EX542" s="132"/>
      <c r="EY542" s="133"/>
      <c r="EZ542" s="22"/>
      <c r="FA542" s="134"/>
      <c r="FB542" s="129"/>
      <c r="FC542" s="130"/>
      <c r="FD542" s="131"/>
      <c r="FE542" s="132"/>
      <c r="FF542" s="132"/>
      <c r="FG542" s="132"/>
      <c r="FH542" s="132"/>
      <c r="FI542" s="132"/>
      <c r="FJ542" s="132"/>
      <c r="FK542" s="132"/>
      <c r="FL542" s="133"/>
      <c r="FM542" s="22"/>
      <c r="FN542" s="134"/>
      <c r="FO542" s="129"/>
      <c r="FP542" s="130"/>
      <c r="FQ542" s="131"/>
      <c r="FR542" s="132"/>
      <c r="FS542" s="132"/>
      <c r="FT542" s="132"/>
      <c r="FU542" s="132"/>
      <c r="FV542" s="132"/>
      <c r="FW542" s="132"/>
      <c r="FX542" s="132"/>
      <c r="FY542" s="133"/>
      <c r="FZ542" s="22"/>
      <c r="GA542" s="134"/>
      <c r="GB542" s="129"/>
      <c r="GC542" s="130"/>
      <c r="GD542" s="131"/>
      <c r="GE542" s="132"/>
      <c r="GF542" s="132"/>
      <c r="GG542" s="132"/>
      <c r="GH542" s="132"/>
      <c r="GI542" s="132"/>
      <c r="GJ542" s="132"/>
      <c r="GK542" s="132"/>
      <c r="GL542" s="133"/>
      <c r="GM542" s="22"/>
      <c r="GN542" s="134"/>
      <c r="GO542" s="129"/>
      <c r="GP542" s="130"/>
      <c r="GQ542" s="131"/>
      <c r="GR542" s="132"/>
      <c r="GS542" s="132"/>
      <c r="GT542" s="132"/>
      <c r="GU542" s="132"/>
      <c r="GV542" s="132"/>
      <c r="GW542" s="132"/>
      <c r="GX542" s="132"/>
      <c r="GY542" s="133"/>
      <c r="GZ542" s="22"/>
      <c r="HA542" s="134"/>
      <c r="HB542" s="129"/>
      <c r="HC542" s="130"/>
      <c r="HD542" s="131"/>
      <c r="HE542" s="132"/>
      <c r="HF542" s="132"/>
      <c r="HG542" s="132"/>
      <c r="HH542" s="132"/>
      <c r="HI542" s="132"/>
      <c r="HJ542" s="132"/>
      <c r="HK542" s="132"/>
      <c r="HL542" s="133"/>
      <c r="HM542" s="22"/>
      <c r="HN542" s="134"/>
      <c r="HO542" s="129"/>
      <c r="HP542" s="130"/>
      <c r="HQ542" s="131"/>
      <c r="HR542" s="132"/>
      <c r="HS542" s="132"/>
      <c r="HT542" s="132"/>
      <c r="HU542" s="132"/>
      <c r="HV542" s="132"/>
      <c r="HW542" s="132"/>
      <c r="HX542" s="132"/>
      <c r="HY542" s="133"/>
      <c r="HZ542" s="22"/>
      <c r="IA542" s="134"/>
      <c r="IB542" s="129"/>
      <c r="IC542" s="130"/>
      <c r="ID542" s="131"/>
      <c r="IE542" s="132"/>
      <c r="IF542" s="132"/>
      <c r="IG542" s="132"/>
      <c r="IH542" s="132"/>
      <c r="II542" s="132"/>
      <c r="IJ542" s="132"/>
      <c r="IK542" s="132"/>
      <c r="IL542" s="133"/>
      <c r="IM542" s="22"/>
      <c r="IN542" s="134"/>
      <c r="IO542" s="129"/>
      <c r="IP542" s="130"/>
      <c r="IQ542" s="131"/>
      <c r="IR542" s="132"/>
      <c r="IS542" s="132"/>
      <c r="IT542" s="132"/>
      <c r="IU542" s="132"/>
    </row>
    <row r="543" spans="1:255" s="46" customFormat="1" ht="85.5" customHeight="1">
      <c r="A543" s="1106"/>
      <c r="B543" s="1107"/>
      <c r="C543" s="1235">
        <v>4</v>
      </c>
      <c r="D543" s="1095"/>
      <c r="E543" s="1096" t="s">
        <v>1028</v>
      </c>
      <c r="F543" s="1097"/>
      <c r="G543" s="1098"/>
      <c r="H543" s="1097"/>
      <c r="I543" s="1097"/>
      <c r="J543" s="1097"/>
      <c r="K543" s="1097"/>
      <c r="L543" s="1099">
        <v>4500</v>
      </c>
      <c r="M543" s="320">
        <f>SUM(F543:L543)</f>
        <v>4500</v>
      </c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  <c r="AA543" s="128"/>
      <c r="AB543" s="128"/>
      <c r="AC543" s="128"/>
      <c r="AD543" s="128"/>
      <c r="AE543" s="128"/>
      <c r="AF543" s="128"/>
      <c r="AG543" s="128"/>
      <c r="AH543" s="128"/>
      <c r="AI543" s="128"/>
      <c r="AJ543" s="128"/>
      <c r="AK543" s="128"/>
      <c r="AL543" s="128"/>
      <c r="AM543" s="128"/>
      <c r="AN543" s="128"/>
      <c r="AO543" s="128"/>
      <c r="AP543" s="128"/>
      <c r="AQ543" s="128"/>
      <c r="AR543" s="128"/>
      <c r="AS543" s="128"/>
      <c r="AT543" s="128"/>
      <c r="AU543" s="128"/>
      <c r="AV543" s="128"/>
      <c r="AW543" s="128"/>
      <c r="AX543" s="128"/>
      <c r="AY543" s="128"/>
      <c r="AZ543" s="128"/>
      <c r="BA543" s="128"/>
      <c r="BB543" s="128"/>
      <c r="BC543" s="128"/>
      <c r="BD543" s="128"/>
      <c r="BE543" s="128"/>
      <c r="BF543" s="128"/>
      <c r="BG543" s="128"/>
      <c r="BH543" s="128"/>
      <c r="BI543" s="128"/>
      <c r="BJ543" s="128"/>
      <c r="BK543" s="128"/>
      <c r="BL543" s="128"/>
      <c r="BM543" s="128"/>
      <c r="BN543" s="128"/>
      <c r="BO543" s="128"/>
      <c r="BP543" s="128"/>
      <c r="BQ543" s="128"/>
      <c r="BR543" s="128"/>
      <c r="BS543" s="128"/>
      <c r="BT543" s="128"/>
      <c r="BU543" s="128"/>
      <c r="BV543" s="128"/>
      <c r="BW543" s="128"/>
      <c r="BX543" s="128"/>
      <c r="BY543" s="128"/>
      <c r="BZ543" s="128"/>
      <c r="CA543" s="128"/>
      <c r="CB543" s="128"/>
      <c r="CC543" s="128"/>
      <c r="CD543" s="128"/>
      <c r="CE543" s="128"/>
      <c r="CF543" s="128"/>
      <c r="CG543" s="128"/>
      <c r="CH543" s="128"/>
      <c r="CI543" s="128"/>
      <c r="CJ543" s="128"/>
      <c r="CK543" s="128"/>
      <c r="CL543" s="128"/>
      <c r="CM543" s="128"/>
      <c r="CN543" s="128"/>
      <c r="CO543" s="128"/>
      <c r="CP543" s="128"/>
      <c r="CQ543" s="128"/>
      <c r="CR543" s="128"/>
      <c r="CS543" s="128"/>
      <c r="CT543" s="128"/>
      <c r="CU543" s="128"/>
      <c r="CV543" s="128"/>
      <c r="CW543" s="128"/>
      <c r="CX543" s="128"/>
      <c r="CY543" s="128"/>
      <c r="CZ543" s="128"/>
      <c r="DA543" s="128"/>
      <c r="DB543" s="128"/>
      <c r="DC543" s="128"/>
      <c r="DD543" s="128"/>
      <c r="DE543" s="128"/>
      <c r="DF543" s="128"/>
      <c r="DG543" s="128"/>
      <c r="DH543" s="128"/>
      <c r="DI543" s="128"/>
      <c r="DJ543" s="128"/>
      <c r="DK543" s="128"/>
      <c r="DL543" s="128"/>
      <c r="DM543" s="128"/>
      <c r="DN543" s="128"/>
      <c r="DO543" s="128"/>
      <c r="DP543" s="128"/>
      <c r="DQ543" s="128"/>
      <c r="DR543" s="128"/>
      <c r="DS543" s="128"/>
      <c r="DT543" s="128"/>
      <c r="DU543" s="128"/>
      <c r="DV543" s="128"/>
      <c r="DW543" s="128"/>
      <c r="DX543" s="128"/>
      <c r="DY543" s="128"/>
      <c r="DZ543" s="128"/>
      <c r="EA543" s="128"/>
      <c r="EB543" s="128"/>
      <c r="EC543" s="128"/>
      <c r="ED543" s="128"/>
      <c r="EE543" s="128"/>
      <c r="EF543" s="128"/>
      <c r="EG543" s="128"/>
      <c r="EH543" s="128"/>
      <c r="EI543" s="128"/>
      <c r="EJ543" s="128"/>
      <c r="EK543" s="128"/>
      <c r="EL543" s="128"/>
      <c r="EM543" s="128"/>
      <c r="EN543" s="128"/>
      <c r="EO543" s="129"/>
      <c r="EP543" s="130"/>
      <c r="EQ543" s="131"/>
      <c r="ER543" s="132"/>
      <c r="ES543" s="132"/>
      <c r="ET543" s="132"/>
      <c r="EU543" s="132"/>
      <c r="EV543" s="132"/>
      <c r="EW543" s="132"/>
      <c r="EX543" s="132"/>
      <c r="EY543" s="133"/>
      <c r="EZ543" s="22"/>
      <c r="FA543" s="134"/>
      <c r="FB543" s="129"/>
      <c r="FC543" s="130"/>
      <c r="FD543" s="131"/>
      <c r="FE543" s="132"/>
      <c r="FF543" s="132"/>
      <c r="FG543" s="132"/>
      <c r="FH543" s="132"/>
      <c r="FI543" s="132"/>
      <c r="FJ543" s="132"/>
      <c r="FK543" s="132"/>
      <c r="FL543" s="133"/>
      <c r="FM543" s="22"/>
      <c r="FN543" s="134"/>
      <c r="FO543" s="129"/>
      <c r="FP543" s="130"/>
      <c r="FQ543" s="131"/>
      <c r="FR543" s="132"/>
      <c r="FS543" s="132"/>
      <c r="FT543" s="132"/>
      <c r="FU543" s="132"/>
      <c r="FV543" s="132"/>
      <c r="FW543" s="132"/>
      <c r="FX543" s="132"/>
      <c r="FY543" s="133"/>
      <c r="FZ543" s="22"/>
      <c r="GA543" s="134"/>
      <c r="GB543" s="129"/>
      <c r="GC543" s="130"/>
      <c r="GD543" s="131"/>
      <c r="GE543" s="132"/>
      <c r="GF543" s="132"/>
      <c r="GG543" s="132"/>
      <c r="GH543" s="132"/>
      <c r="GI543" s="132"/>
      <c r="GJ543" s="132"/>
      <c r="GK543" s="132"/>
      <c r="GL543" s="133"/>
      <c r="GM543" s="22"/>
      <c r="GN543" s="134"/>
      <c r="GO543" s="129"/>
      <c r="GP543" s="130"/>
      <c r="GQ543" s="131"/>
      <c r="GR543" s="132"/>
      <c r="GS543" s="132"/>
      <c r="GT543" s="132"/>
      <c r="GU543" s="132"/>
      <c r="GV543" s="132"/>
      <c r="GW543" s="132"/>
      <c r="GX543" s="132"/>
      <c r="GY543" s="133"/>
      <c r="GZ543" s="22"/>
      <c r="HA543" s="134"/>
      <c r="HB543" s="129"/>
      <c r="HC543" s="130"/>
      <c r="HD543" s="131"/>
      <c r="HE543" s="132"/>
      <c r="HF543" s="132"/>
      <c r="HG543" s="132"/>
      <c r="HH543" s="132"/>
      <c r="HI543" s="132"/>
      <c r="HJ543" s="132"/>
      <c r="HK543" s="132"/>
      <c r="HL543" s="133"/>
      <c r="HM543" s="22"/>
      <c r="HN543" s="134"/>
      <c r="HO543" s="129"/>
      <c r="HP543" s="130"/>
      <c r="HQ543" s="131"/>
      <c r="HR543" s="132"/>
      <c r="HS543" s="132"/>
      <c r="HT543" s="132"/>
      <c r="HU543" s="132"/>
      <c r="HV543" s="132"/>
      <c r="HW543" s="132"/>
      <c r="HX543" s="132"/>
      <c r="HY543" s="133"/>
      <c r="HZ543" s="22"/>
      <c r="IA543" s="134"/>
      <c r="IB543" s="129"/>
      <c r="IC543" s="130"/>
      <c r="ID543" s="131"/>
      <c r="IE543" s="132"/>
      <c r="IF543" s="132"/>
      <c r="IG543" s="132"/>
      <c r="IH543" s="132"/>
      <c r="II543" s="132"/>
      <c r="IJ543" s="132"/>
      <c r="IK543" s="132"/>
      <c r="IL543" s="133"/>
      <c r="IM543" s="22"/>
      <c r="IN543" s="134"/>
      <c r="IO543" s="129"/>
      <c r="IP543" s="130"/>
      <c r="IQ543" s="131"/>
      <c r="IR543" s="132"/>
      <c r="IS543" s="132"/>
      <c r="IT543" s="132"/>
      <c r="IU543" s="132"/>
    </row>
    <row r="544" spans="1:13" s="46" customFormat="1" ht="45" customHeight="1">
      <c r="A544" s="1108"/>
      <c r="B544" s="174">
        <v>92695</v>
      </c>
      <c r="C544" s="1151"/>
      <c r="D544" s="175"/>
      <c r="E544" s="176" t="s">
        <v>24</v>
      </c>
      <c r="F544" s="837">
        <f aca="true" t="shared" si="82" ref="F544:M544">SUM(F545:F545)</f>
        <v>0</v>
      </c>
      <c r="G544" s="838">
        <f t="shared" si="82"/>
        <v>0</v>
      </c>
      <c r="H544" s="1033">
        <f t="shared" si="82"/>
        <v>0</v>
      </c>
      <c r="I544" s="1033">
        <f t="shared" si="82"/>
        <v>0</v>
      </c>
      <c r="J544" s="1033">
        <f t="shared" si="82"/>
        <v>0</v>
      </c>
      <c r="K544" s="1033">
        <f t="shared" si="82"/>
        <v>0</v>
      </c>
      <c r="L544" s="1033">
        <f t="shared" si="82"/>
        <v>100000</v>
      </c>
      <c r="M544" s="1034">
        <f t="shared" si="82"/>
        <v>100000</v>
      </c>
    </row>
    <row r="545" spans="1:13" s="46" customFormat="1" ht="60" customHeight="1" thickBot="1">
      <c r="A545" s="158"/>
      <c r="B545" s="166"/>
      <c r="C545" s="1188">
        <v>1</v>
      </c>
      <c r="D545" s="1109"/>
      <c r="E545" s="191" t="s">
        <v>1014</v>
      </c>
      <c r="F545" s="197"/>
      <c r="G545" s="198"/>
      <c r="H545" s="202"/>
      <c r="I545" s="202"/>
      <c r="J545" s="202"/>
      <c r="K545" s="200"/>
      <c r="L545" s="203">
        <v>100000</v>
      </c>
      <c r="M545" s="200">
        <f>SUM(F545:L545)</f>
        <v>100000</v>
      </c>
    </row>
    <row r="546" spans="1:13" s="95" customFormat="1" ht="42.75" customHeight="1" thickBot="1">
      <c r="A546" s="885"/>
      <c r="B546" s="1110"/>
      <c r="C546" s="1236"/>
      <c r="D546" s="1111"/>
      <c r="E546" s="1112" t="s">
        <v>124</v>
      </c>
      <c r="F546" s="1113">
        <f aca="true" t="shared" si="83" ref="F546:L546">F3+F6+F9+F31+F67+F83+F181+F184+F188+F217+F224+F229+F233+F396+F413+F435+F467+F497+F538</f>
        <v>6592665</v>
      </c>
      <c r="G546" s="1113">
        <f t="shared" si="83"/>
        <v>0</v>
      </c>
      <c r="H546" s="1113">
        <f t="shared" si="83"/>
        <v>17301</v>
      </c>
      <c r="I546" s="1113">
        <f t="shared" si="83"/>
        <v>24600</v>
      </c>
      <c r="J546" s="1113">
        <f t="shared" si="83"/>
        <v>34000</v>
      </c>
      <c r="K546" s="1113">
        <f t="shared" si="83"/>
        <v>10500</v>
      </c>
      <c r="L546" s="1113">
        <f t="shared" si="83"/>
        <v>41506279</v>
      </c>
      <c r="M546" s="1113">
        <f>SUM(F546:L546)</f>
        <v>48185345</v>
      </c>
    </row>
    <row r="547" spans="1:13" s="95" customFormat="1" ht="45.75" customHeight="1">
      <c r="A547" s="1114"/>
      <c r="B547" s="1115"/>
      <c r="C547" s="1237"/>
      <c r="D547" s="1116"/>
      <c r="E547" s="1117" t="s">
        <v>125</v>
      </c>
      <c r="F547" s="1118">
        <f>F548+F553+F556+F559+F563+F564</f>
        <v>0</v>
      </c>
      <c r="G547" s="1118">
        <f aca="true" t="shared" si="84" ref="G547:M547">G548+G553+G556+G559+G563+G564</f>
        <v>0</v>
      </c>
      <c r="H547" s="1118">
        <f t="shared" si="84"/>
        <v>0</v>
      </c>
      <c r="I547" s="1118">
        <f t="shared" si="84"/>
        <v>0</v>
      </c>
      <c r="J547" s="1118">
        <f t="shared" si="84"/>
        <v>0</v>
      </c>
      <c r="K547" s="1118">
        <f t="shared" si="84"/>
        <v>0</v>
      </c>
      <c r="L547" s="1118">
        <f t="shared" si="84"/>
        <v>3382621</v>
      </c>
      <c r="M547" s="1119">
        <f t="shared" si="84"/>
        <v>3382621</v>
      </c>
    </row>
    <row r="548" spans="1:13" s="95" customFormat="1" ht="85.5" customHeight="1">
      <c r="A548" s="916"/>
      <c r="B548" s="1120"/>
      <c r="C548" s="1238" t="s">
        <v>682</v>
      </c>
      <c r="D548" s="1121"/>
      <c r="E548" s="1122" t="s">
        <v>126</v>
      </c>
      <c r="F548" s="1123"/>
      <c r="G548" s="1122"/>
      <c r="H548" s="1123"/>
      <c r="I548" s="1123"/>
      <c r="J548" s="1123"/>
      <c r="K548" s="1124"/>
      <c r="L548" s="1125">
        <f>67000*4</f>
        <v>268000</v>
      </c>
      <c r="M548" s="1126">
        <f>L548</f>
        <v>268000</v>
      </c>
    </row>
    <row r="549" spans="1:13" s="96" customFormat="1" ht="28.5" customHeight="1">
      <c r="A549" s="916"/>
      <c r="B549" s="1120"/>
      <c r="C549" s="1239"/>
      <c r="D549" s="1127"/>
      <c r="E549" s="1128" t="s">
        <v>579</v>
      </c>
      <c r="F549" s="1129"/>
      <c r="G549" s="1128"/>
      <c r="H549" s="1129"/>
      <c r="I549" s="1129"/>
      <c r="J549" s="1129"/>
      <c r="K549" s="1130"/>
      <c r="L549" s="1131"/>
      <c r="M549" s="1132"/>
    </row>
    <row r="550" spans="1:13" s="96" customFormat="1" ht="30" customHeight="1">
      <c r="A550" s="916"/>
      <c r="B550" s="1120"/>
      <c r="C550" s="1239"/>
      <c r="D550" s="1127"/>
      <c r="E550" s="1128" t="s">
        <v>580</v>
      </c>
      <c r="F550" s="1129"/>
      <c r="G550" s="1128"/>
      <c r="H550" s="1129"/>
      <c r="I550" s="1129"/>
      <c r="J550" s="1129"/>
      <c r="K550" s="1130"/>
      <c r="L550" s="1131"/>
      <c r="M550" s="1132"/>
    </row>
    <row r="551" spans="1:13" s="96" customFormat="1" ht="32.25" customHeight="1">
      <c r="A551" s="916"/>
      <c r="B551" s="1120"/>
      <c r="C551" s="1239"/>
      <c r="D551" s="1127"/>
      <c r="E551" s="1128" t="s">
        <v>581</v>
      </c>
      <c r="F551" s="1129"/>
      <c r="G551" s="1128"/>
      <c r="H551" s="1129"/>
      <c r="I551" s="1129"/>
      <c r="J551" s="1129"/>
      <c r="K551" s="1130"/>
      <c r="L551" s="1131"/>
      <c r="M551" s="1132"/>
    </row>
    <row r="552" spans="1:13" s="96" customFormat="1" ht="30" customHeight="1">
      <c r="A552" s="916"/>
      <c r="B552" s="1120"/>
      <c r="C552" s="1239"/>
      <c r="D552" s="1127"/>
      <c r="E552" s="1128" t="s">
        <v>582</v>
      </c>
      <c r="F552" s="1129"/>
      <c r="G552" s="1128"/>
      <c r="H552" s="1129"/>
      <c r="I552" s="1129"/>
      <c r="J552" s="1129"/>
      <c r="K552" s="1130"/>
      <c r="L552" s="1131"/>
      <c r="M552" s="1132"/>
    </row>
    <row r="553" spans="1:13" s="96" customFormat="1" ht="75.75" customHeight="1">
      <c r="A553" s="916"/>
      <c r="B553" s="1120"/>
      <c r="C553" s="1240" t="s">
        <v>700</v>
      </c>
      <c r="D553" s="1133"/>
      <c r="E553" s="1122" t="s">
        <v>127</v>
      </c>
      <c r="F553" s="1134"/>
      <c r="G553" s="1135"/>
      <c r="H553" s="1134"/>
      <c r="I553" s="1134"/>
      <c r="J553" s="1134"/>
      <c r="K553" s="1136"/>
      <c r="L553" s="1137">
        <v>100000</v>
      </c>
      <c r="M553" s="1138">
        <f>L553</f>
        <v>100000</v>
      </c>
    </row>
    <row r="554" spans="1:13" s="96" customFormat="1" ht="30" customHeight="1">
      <c r="A554" s="916"/>
      <c r="B554" s="1120"/>
      <c r="C554" s="1241"/>
      <c r="D554" s="1127"/>
      <c r="E554" s="1128" t="s">
        <v>583</v>
      </c>
      <c r="F554" s="1129"/>
      <c r="G554" s="1128"/>
      <c r="H554" s="1129"/>
      <c r="I554" s="1129"/>
      <c r="J554" s="1129"/>
      <c r="K554" s="1139"/>
      <c r="L554" s="1131"/>
      <c r="M554" s="1132"/>
    </row>
    <row r="555" spans="1:13" s="96" customFormat="1" ht="30.75" customHeight="1">
      <c r="A555" s="916"/>
      <c r="B555" s="1120"/>
      <c r="C555" s="1239"/>
      <c r="D555" s="1127"/>
      <c r="E555" s="1128" t="s">
        <v>584</v>
      </c>
      <c r="F555" s="1129"/>
      <c r="G555" s="1128"/>
      <c r="H555" s="1129"/>
      <c r="I555" s="1129"/>
      <c r="J555" s="1129" t="s">
        <v>128</v>
      </c>
      <c r="K555" s="1139"/>
      <c r="L555" s="1131"/>
      <c r="M555" s="1132"/>
    </row>
    <row r="556" spans="1:13" s="96" customFormat="1" ht="74.25" customHeight="1">
      <c r="A556" s="916"/>
      <c r="B556" s="1120"/>
      <c r="C556" s="1240" t="s">
        <v>701</v>
      </c>
      <c r="D556" s="1133"/>
      <c r="E556" s="1140" t="s">
        <v>129</v>
      </c>
      <c r="F556" s="1134"/>
      <c r="G556" s="1140"/>
      <c r="H556" s="1134"/>
      <c r="I556" s="1134"/>
      <c r="J556" s="1134"/>
      <c r="K556" s="1136"/>
      <c r="L556" s="1137">
        <f>400000+355000</f>
        <v>755000</v>
      </c>
      <c r="M556" s="1138">
        <f>L556</f>
        <v>755000</v>
      </c>
    </row>
    <row r="557" spans="1:13" s="96" customFormat="1" ht="33" customHeight="1">
      <c r="A557" s="916"/>
      <c r="B557" s="1120"/>
      <c r="C557" s="1239"/>
      <c r="D557" s="1127"/>
      <c r="E557" s="1128" t="s">
        <v>585</v>
      </c>
      <c r="F557" s="1129"/>
      <c r="G557" s="1128"/>
      <c r="H557" s="1129"/>
      <c r="I557" s="1129"/>
      <c r="J557" s="1129"/>
      <c r="K557" s="1139"/>
      <c r="L557" s="1131"/>
      <c r="M557" s="1132"/>
    </row>
    <row r="558" spans="1:13" s="96" customFormat="1" ht="32.25" customHeight="1">
      <c r="A558" s="916"/>
      <c r="B558" s="1120"/>
      <c r="C558" s="1239"/>
      <c r="D558" s="1127"/>
      <c r="E558" s="1128" t="s">
        <v>586</v>
      </c>
      <c r="F558" s="1129"/>
      <c r="G558" s="1128"/>
      <c r="H558" s="1129"/>
      <c r="I558" s="1129"/>
      <c r="J558" s="1129"/>
      <c r="K558" s="1139"/>
      <c r="L558" s="1131"/>
      <c r="M558" s="1132"/>
    </row>
    <row r="559" spans="1:13" s="96" customFormat="1" ht="56.25" customHeight="1">
      <c r="A559" s="916"/>
      <c r="B559" s="1120"/>
      <c r="C559" s="1240" t="s">
        <v>702</v>
      </c>
      <c r="D559" s="1133"/>
      <c r="E559" s="1140" t="s">
        <v>130</v>
      </c>
      <c r="F559" s="1134"/>
      <c r="G559" s="1140"/>
      <c r="H559" s="1134"/>
      <c r="I559" s="1134"/>
      <c r="J559" s="1134"/>
      <c r="K559" s="1136"/>
      <c r="L559" s="1137">
        <f>100000+100000+50000</f>
        <v>250000</v>
      </c>
      <c r="M559" s="1138">
        <f>100000+100000+50000</f>
        <v>250000</v>
      </c>
    </row>
    <row r="560" spans="1:13" s="96" customFormat="1" ht="30" customHeight="1">
      <c r="A560" s="916"/>
      <c r="B560" s="1120"/>
      <c r="C560" s="1239"/>
      <c r="D560" s="1127"/>
      <c r="E560" s="1128" t="s">
        <v>587</v>
      </c>
      <c r="F560" s="1129"/>
      <c r="G560" s="1128"/>
      <c r="H560" s="1129"/>
      <c r="I560" s="1129"/>
      <c r="J560" s="1129"/>
      <c r="K560" s="1139"/>
      <c r="L560" s="1131"/>
      <c r="M560" s="1132"/>
    </row>
    <row r="561" spans="1:13" s="96" customFormat="1" ht="27.75" customHeight="1">
      <c r="A561" s="916"/>
      <c r="B561" s="1120"/>
      <c r="C561" s="1239"/>
      <c r="D561" s="1127"/>
      <c r="E561" s="1128" t="s">
        <v>588</v>
      </c>
      <c r="F561" s="1129"/>
      <c r="G561" s="1128"/>
      <c r="H561" s="1129"/>
      <c r="I561" s="1129"/>
      <c r="J561" s="1129"/>
      <c r="K561" s="1139"/>
      <c r="L561" s="1131"/>
      <c r="M561" s="1132"/>
    </row>
    <row r="562" spans="1:13" s="96" customFormat="1" ht="30" customHeight="1">
      <c r="A562" s="916"/>
      <c r="B562" s="1120"/>
      <c r="C562" s="1239"/>
      <c r="D562" s="1127"/>
      <c r="E562" s="1128" t="s">
        <v>589</v>
      </c>
      <c r="F562" s="1129"/>
      <c r="G562" s="1128"/>
      <c r="H562" s="1129"/>
      <c r="I562" s="1129"/>
      <c r="J562" s="1129"/>
      <c r="K562" s="1139"/>
      <c r="L562" s="1131"/>
      <c r="M562" s="1132"/>
    </row>
    <row r="563" spans="1:13" s="96" customFormat="1" ht="132.75" customHeight="1">
      <c r="A563" s="916"/>
      <c r="B563" s="1120"/>
      <c r="C563" s="1240" t="s">
        <v>703</v>
      </c>
      <c r="D563" s="1133"/>
      <c r="E563" s="1140" t="s">
        <v>981</v>
      </c>
      <c r="F563" s="1134"/>
      <c r="G563" s="1140"/>
      <c r="H563" s="1134"/>
      <c r="I563" s="1134"/>
      <c r="J563" s="1134"/>
      <c r="K563" s="1136"/>
      <c r="L563" s="1137">
        <v>609621</v>
      </c>
      <c r="M563" s="1138">
        <f>L563</f>
        <v>609621</v>
      </c>
    </row>
    <row r="564" spans="1:13" s="96" customFormat="1" ht="60.75" customHeight="1">
      <c r="A564" s="916"/>
      <c r="B564" s="1120"/>
      <c r="C564" s="1240" t="s">
        <v>704</v>
      </c>
      <c r="D564" s="1133"/>
      <c r="E564" s="1140" t="s">
        <v>594</v>
      </c>
      <c r="F564" s="1134"/>
      <c r="G564" s="1140"/>
      <c r="H564" s="1134"/>
      <c r="I564" s="1134"/>
      <c r="J564" s="1134"/>
      <c r="K564" s="1136"/>
      <c r="L564" s="1137">
        <v>1400000</v>
      </c>
      <c r="M564" s="1138">
        <f>L564</f>
        <v>1400000</v>
      </c>
    </row>
    <row r="565" spans="1:13" s="96" customFormat="1" ht="30" customHeight="1">
      <c r="A565" s="916"/>
      <c r="B565" s="1120"/>
      <c r="C565" s="1241"/>
      <c r="D565" s="1127"/>
      <c r="E565" s="1128" t="s">
        <v>590</v>
      </c>
      <c r="F565" s="1129"/>
      <c r="G565" s="1128"/>
      <c r="H565" s="1129"/>
      <c r="I565" s="1129"/>
      <c r="J565" s="1129"/>
      <c r="K565" s="1139"/>
      <c r="L565" s="1131"/>
      <c r="M565" s="1132"/>
    </row>
    <row r="566" spans="1:13" s="96" customFormat="1" ht="30.75" customHeight="1">
      <c r="A566" s="916"/>
      <c r="B566" s="1120"/>
      <c r="C566" s="1239"/>
      <c r="D566" s="1127"/>
      <c r="E566" s="1128" t="s">
        <v>152</v>
      </c>
      <c r="F566" s="1129"/>
      <c r="G566" s="1128"/>
      <c r="H566" s="1129"/>
      <c r="I566" s="1129"/>
      <c r="J566" s="1129" t="s">
        <v>128</v>
      </c>
      <c r="K566" s="1139"/>
      <c r="L566" s="1131"/>
      <c r="M566" s="1132"/>
    </row>
    <row r="567" spans="1:13" s="96" customFormat="1" ht="32.25" customHeight="1">
      <c r="A567" s="916"/>
      <c r="B567" s="1120"/>
      <c r="C567" s="1239"/>
      <c r="D567" s="1127"/>
      <c r="E567" s="1128" t="s">
        <v>153</v>
      </c>
      <c r="F567" s="1129"/>
      <c r="G567" s="1128"/>
      <c r="H567" s="1129"/>
      <c r="I567" s="1129"/>
      <c r="J567" s="1129"/>
      <c r="K567" s="1139"/>
      <c r="L567" s="1131"/>
      <c r="M567" s="1132"/>
    </row>
    <row r="568" spans="1:13" s="96" customFormat="1" ht="31.5" customHeight="1" thickBot="1">
      <c r="A568" s="916"/>
      <c r="B568" s="1120"/>
      <c r="C568" s="1239"/>
      <c r="D568" s="1127"/>
      <c r="E568" s="1128" t="s">
        <v>154</v>
      </c>
      <c r="F568" s="1129"/>
      <c r="G568" s="1128"/>
      <c r="H568" s="1129"/>
      <c r="I568" s="1129"/>
      <c r="J568" s="1129"/>
      <c r="K568" s="1139"/>
      <c r="L568" s="1131"/>
      <c r="M568" s="1132"/>
    </row>
    <row r="569" spans="1:13" s="97" customFormat="1" ht="44.25" customHeight="1">
      <c r="A569" s="1141"/>
      <c r="B569" s="1110"/>
      <c r="C569" s="1242"/>
      <c r="D569" s="1142"/>
      <c r="E569" s="1143" t="s">
        <v>124</v>
      </c>
      <c r="F569" s="1144">
        <f>F546+F547</f>
        <v>6592665</v>
      </c>
      <c r="G569" s="1144">
        <f aca="true" t="shared" si="85" ref="G569:M569">G546+G547</f>
        <v>0</v>
      </c>
      <c r="H569" s="1144">
        <f t="shared" si="85"/>
        <v>17301</v>
      </c>
      <c r="I569" s="1144">
        <f t="shared" si="85"/>
        <v>24600</v>
      </c>
      <c r="J569" s="1144">
        <f t="shared" si="85"/>
        <v>34000</v>
      </c>
      <c r="K569" s="1144">
        <f t="shared" si="85"/>
        <v>10500</v>
      </c>
      <c r="L569" s="1144">
        <f t="shared" si="85"/>
        <v>44888900</v>
      </c>
      <c r="M569" s="1145">
        <f t="shared" si="85"/>
        <v>51567966</v>
      </c>
    </row>
    <row r="570" spans="1:13" s="148" customFormat="1" ht="23.25" customHeight="1">
      <c r="A570" s="146"/>
      <c r="B570" s="147"/>
      <c r="C570" s="1217"/>
      <c r="D570" s="81"/>
      <c r="E570" s="79"/>
      <c r="F570" s="32"/>
      <c r="G570" s="32"/>
      <c r="H570" s="32"/>
      <c r="I570" s="32"/>
      <c r="J570" s="32"/>
      <c r="K570" s="32"/>
      <c r="L570" s="32"/>
      <c r="M570" s="32"/>
    </row>
    <row r="571" spans="1:13" s="98" customFormat="1" ht="33.75" customHeight="1">
      <c r="A571" s="99"/>
      <c r="B571" s="1540" t="s">
        <v>194</v>
      </c>
      <c r="C571" s="1244"/>
      <c r="D571" s="100"/>
      <c r="E571" s="1560">
        <f>M569-'Załącznik Nr 1 '!G163</f>
        <v>0</v>
      </c>
      <c r="F571" s="87"/>
      <c r="G571" s="34"/>
      <c r="H571" s="34"/>
      <c r="I571" s="34"/>
      <c r="J571" s="34"/>
      <c r="K571" s="34"/>
      <c r="L571" s="34"/>
      <c r="M571" s="73"/>
    </row>
    <row r="572" spans="1:13" s="98" customFormat="1" ht="18.75">
      <c r="A572" s="99"/>
      <c r="B572" s="107"/>
      <c r="C572" s="1244"/>
      <c r="D572" s="100"/>
      <c r="E572" s="101"/>
      <c r="F572" s="87"/>
      <c r="G572" s="34"/>
      <c r="H572" s="34"/>
      <c r="I572" s="34"/>
      <c r="J572" s="34"/>
      <c r="K572" s="34"/>
      <c r="L572" s="34"/>
      <c r="M572" s="73"/>
    </row>
    <row r="573" spans="1:13" s="98" customFormat="1" ht="18.75">
      <c r="A573" s="99"/>
      <c r="B573" s="107"/>
      <c r="C573" s="1244"/>
      <c r="D573" s="100"/>
      <c r="E573" s="101"/>
      <c r="F573" s="87"/>
      <c r="G573" s="34"/>
      <c r="H573" s="34"/>
      <c r="I573" s="34"/>
      <c r="J573" s="34"/>
      <c r="K573" s="34"/>
      <c r="L573" s="34"/>
      <c r="M573" s="73"/>
    </row>
    <row r="574" spans="1:13" s="98" customFormat="1" ht="18.75">
      <c r="A574" s="99"/>
      <c r="B574" s="107"/>
      <c r="C574" s="1244"/>
      <c r="D574" s="100"/>
      <c r="E574" s="101"/>
      <c r="F574" s="87"/>
      <c r="G574" s="34"/>
      <c r="H574" s="34"/>
      <c r="I574" s="34"/>
      <c r="J574" s="34"/>
      <c r="K574" s="34"/>
      <c r="L574" s="34"/>
      <c r="M574" s="73"/>
    </row>
    <row r="575" spans="1:13" s="18" customFormat="1" ht="18.75">
      <c r="A575" s="23"/>
      <c r="B575" s="107"/>
      <c r="C575" s="1157"/>
      <c r="D575" s="25"/>
      <c r="E575" s="82"/>
      <c r="F575" s="87"/>
      <c r="G575" s="34"/>
      <c r="H575" s="34"/>
      <c r="I575" s="34"/>
      <c r="J575" s="34"/>
      <c r="K575" s="34"/>
      <c r="L575" s="34"/>
      <c r="M575" s="73"/>
    </row>
    <row r="576" spans="1:13" s="18" customFormat="1" ht="18.75">
      <c r="A576" s="23"/>
      <c r="B576" s="107"/>
      <c r="C576" s="1157"/>
      <c r="D576" s="25"/>
      <c r="E576" s="82"/>
      <c r="F576" s="87"/>
      <c r="G576" s="34"/>
      <c r="H576" s="34"/>
      <c r="I576" s="34"/>
      <c r="J576" s="34"/>
      <c r="K576" s="34"/>
      <c r="L576" s="34"/>
      <c r="M576" s="73"/>
    </row>
    <row r="577" spans="1:13" s="18" customFormat="1" ht="18.75">
      <c r="A577" s="23"/>
      <c r="B577" s="107"/>
      <c r="C577" s="1157"/>
      <c r="D577" s="25"/>
      <c r="E577" s="82"/>
      <c r="F577" s="87"/>
      <c r="G577" s="34"/>
      <c r="H577" s="34"/>
      <c r="I577" s="34"/>
      <c r="J577" s="34"/>
      <c r="K577" s="34"/>
      <c r="L577" s="34"/>
      <c r="M577" s="73"/>
    </row>
    <row r="578" spans="1:13" s="18" customFormat="1" ht="18.75">
      <c r="A578" s="23"/>
      <c r="B578" s="107"/>
      <c r="C578" s="1157"/>
      <c r="D578" s="25"/>
      <c r="E578" s="82"/>
      <c r="F578" s="87"/>
      <c r="G578" s="34"/>
      <c r="H578" s="34"/>
      <c r="I578" s="34"/>
      <c r="J578" s="34"/>
      <c r="K578" s="34"/>
      <c r="L578" s="34"/>
      <c r="M578" s="73"/>
    </row>
    <row r="579" spans="1:13" s="18" customFormat="1" ht="18.75">
      <c r="A579" s="23"/>
      <c r="B579" s="107"/>
      <c r="C579" s="1157"/>
      <c r="D579" s="25"/>
      <c r="E579" s="82"/>
      <c r="F579" s="87"/>
      <c r="G579" s="34"/>
      <c r="H579" s="34"/>
      <c r="I579" s="34"/>
      <c r="J579" s="34"/>
      <c r="K579" s="34"/>
      <c r="L579" s="34"/>
      <c r="M579" s="73"/>
    </row>
    <row r="580" spans="1:13" s="18" customFormat="1" ht="18.75">
      <c r="A580" s="23"/>
      <c r="B580" s="107"/>
      <c r="C580" s="1157"/>
      <c r="D580" s="25"/>
      <c r="E580" s="82"/>
      <c r="F580" s="87"/>
      <c r="G580" s="34"/>
      <c r="H580" s="34"/>
      <c r="I580" s="34"/>
      <c r="J580" s="34"/>
      <c r="K580" s="34"/>
      <c r="L580" s="34"/>
      <c r="M580" s="73"/>
    </row>
    <row r="581" spans="1:13" s="18" customFormat="1" ht="18.75">
      <c r="A581" s="23"/>
      <c r="B581" s="107"/>
      <c r="C581" s="1157"/>
      <c r="D581" s="25"/>
      <c r="E581" s="82"/>
      <c r="F581" s="87"/>
      <c r="G581" s="34"/>
      <c r="H581" s="34"/>
      <c r="I581" s="34"/>
      <c r="J581" s="34"/>
      <c r="K581" s="34"/>
      <c r="L581" s="34"/>
      <c r="M581" s="73"/>
    </row>
    <row r="582" spans="1:13" s="18" customFormat="1" ht="18.75">
      <c r="A582" s="23"/>
      <c r="B582" s="107"/>
      <c r="C582" s="1157"/>
      <c r="D582" s="25"/>
      <c r="E582" s="82"/>
      <c r="F582" s="87"/>
      <c r="G582" s="34"/>
      <c r="H582" s="34"/>
      <c r="I582" s="34"/>
      <c r="J582" s="34"/>
      <c r="K582" s="34"/>
      <c r="L582" s="34"/>
      <c r="M582" s="73"/>
    </row>
    <row r="583" spans="1:13" s="18" customFormat="1" ht="18.75">
      <c r="A583" s="23"/>
      <c r="B583" s="107"/>
      <c r="C583" s="1157"/>
      <c r="D583" s="25"/>
      <c r="E583" s="82"/>
      <c r="F583" s="87"/>
      <c r="G583" s="34"/>
      <c r="H583" s="34"/>
      <c r="I583" s="34"/>
      <c r="J583" s="34"/>
      <c r="K583" s="34"/>
      <c r="L583" s="34"/>
      <c r="M583" s="73"/>
    </row>
    <row r="584" spans="1:13" s="18" customFormat="1" ht="18.75">
      <c r="A584" s="23"/>
      <c r="B584" s="107"/>
      <c r="C584" s="1157"/>
      <c r="D584" s="25"/>
      <c r="E584" s="82"/>
      <c r="F584" s="87"/>
      <c r="G584" s="34"/>
      <c r="H584" s="34"/>
      <c r="I584" s="34"/>
      <c r="J584" s="34"/>
      <c r="K584" s="34"/>
      <c r="L584" s="34"/>
      <c r="M584" s="73"/>
    </row>
    <row r="585" spans="1:13" s="18" customFormat="1" ht="18.75">
      <c r="A585" s="23"/>
      <c r="B585" s="107"/>
      <c r="C585" s="1157"/>
      <c r="D585" s="25"/>
      <c r="E585" s="82"/>
      <c r="F585" s="87"/>
      <c r="G585" s="34"/>
      <c r="H585" s="34"/>
      <c r="I585" s="34"/>
      <c r="J585" s="34"/>
      <c r="K585" s="34"/>
      <c r="L585" s="34"/>
      <c r="M585" s="73"/>
    </row>
    <row r="586" spans="1:13" s="18" customFormat="1" ht="18.75">
      <c r="A586" s="23"/>
      <c r="B586" s="107"/>
      <c r="C586" s="1157"/>
      <c r="D586" s="25"/>
      <c r="E586" s="82"/>
      <c r="F586" s="87"/>
      <c r="G586" s="34"/>
      <c r="H586" s="34"/>
      <c r="I586" s="34"/>
      <c r="J586" s="34"/>
      <c r="K586" s="34"/>
      <c r="L586" s="34"/>
      <c r="M586" s="73"/>
    </row>
    <row r="587" spans="1:13" s="18" customFormat="1" ht="18.75">
      <c r="A587" s="23"/>
      <c r="B587" s="107"/>
      <c r="C587" s="1157"/>
      <c r="D587" s="25"/>
      <c r="E587" s="82"/>
      <c r="F587" s="87"/>
      <c r="G587" s="34"/>
      <c r="H587" s="34"/>
      <c r="I587" s="34"/>
      <c r="J587" s="34"/>
      <c r="K587" s="34"/>
      <c r="L587" s="34"/>
      <c r="M587" s="73"/>
    </row>
    <row r="588" spans="1:13" s="18" customFormat="1" ht="18.75">
      <c r="A588" s="23"/>
      <c r="B588" s="107"/>
      <c r="C588" s="1157"/>
      <c r="D588" s="25"/>
      <c r="E588" s="82"/>
      <c r="F588" s="87"/>
      <c r="G588" s="34"/>
      <c r="H588" s="34"/>
      <c r="I588" s="34"/>
      <c r="J588" s="34"/>
      <c r="K588" s="34"/>
      <c r="L588" s="34"/>
      <c r="M588" s="73"/>
    </row>
    <row r="589" spans="1:13" s="18" customFormat="1" ht="18.75">
      <c r="A589" s="23"/>
      <c r="B589" s="107"/>
      <c r="C589" s="1157"/>
      <c r="D589" s="25"/>
      <c r="E589" s="82"/>
      <c r="F589" s="87"/>
      <c r="G589" s="34"/>
      <c r="H589" s="34"/>
      <c r="I589" s="34"/>
      <c r="J589" s="34"/>
      <c r="K589" s="34"/>
      <c r="L589" s="34"/>
      <c r="M589" s="73"/>
    </row>
    <row r="590" spans="1:13" s="18" customFormat="1" ht="18.75">
      <c r="A590" s="23"/>
      <c r="B590" s="107"/>
      <c r="C590" s="1157"/>
      <c r="D590" s="25"/>
      <c r="E590" s="82"/>
      <c r="F590" s="87"/>
      <c r="G590" s="34"/>
      <c r="H590" s="34"/>
      <c r="I590" s="34"/>
      <c r="J590" s="34"/>
      <c r="K590" s="34"/>
      <c r="L590" s="34"/>
      <c r="M590" s="73"/>
    </row>
    <row r="591" spans="1:13" s="18" customFormat="1" ht="18.75">
      <c r="A591" s="23"/>
      <c r="B591" s="107"/>
      <c r="C591" s="1157"/>
      <c r="D591" s="25"/>
      <c r="E591" s="82"/>
      <c r="F591" s="87"/>
      <c r="G591" s="34"/>
      <c r="H591" s="34"/>
      <c r="I591" s="34"/>
      <c r="J591" s="34"/>
      <c r="K591" s="34"/>
      <c r="L591" s="34"/>
      <c r="M591" s="73"/>
    </row>
    <row r="592" spans="1:13" s="18" customFormat="1" ht="18.75">
      <c r="A592" s="23"/>
      <c r="B592" s="107"/>
      <c r="C592" s="1157"/>
      <c r="D592" s="25"/>
      <c r="E592" s="82"/>
      <c r="F592" s="87"/>
      <c r="G592" s="34"/>
      <c r="H592" s="34"/>
      <c r="I592" s="34"/>
      <c r="J592" s="34"/>
      <c r="K592" s="34"/>
      <c r="L592" s="34"/>
      <c r="M592" s="73"/>
    </row>
    <row r="593" spans="1:13" s="18" customFormat="1" ht="18.75">
      <c r="A593" s="23"/>
      <c r="B593" s="107"/>
      <c r="C593" s="1157"/>
      <c r="D593" s="25"/>
      <c r="E593" s="82"/>
      <c r="F593" s="87"/>
      <c r="G593" s="34"/>
      <c r="H593" s="34"/>
      <c r="I593" s="34"/>
      <c r="J593" s="34"/>
      <c r="K593" s="34"/>
      <c r="L593" s="34"/>
      <c r="M593" s="73"/>
    </row>
    <row r="594" spans="1:13" s="18" customFormat="1" ht="18.75">
      <c r="A594" s="23"/>
      <c r="B594" s="107"/>
      <c r="C594" s="1157"/>
      <c r="D594" s="25"/>
      <c r="E594" s="82"/>
      <c r="F594" s="87"/>
      <c r="G594" s="34"/>
      <c r="H594" s="34"/>
      <c r="I594" s="34"/>
      <c r="J594" s="34"/>
      <c r="K594" s="34"/>
      <c r="L594" s="34"/>
      <c r="M594" s="73"/>
    </row>
    <row r="595" spans="1:13" s="18" customFormat="1" ht="18.75">
      <c r="A595" s="23"/>
      <c r="B595" s="107"/>
      <c r="C595" s="1157"/>
      <c r="D595" s="25"/>
      <c r="E595" s="82"/>
      <c r="F595" s="87"/>
      <c r="G595" s="34"/>
      <c r="H595" s="34"/>
      <c r="I595" s="34"/>
      <c r="J595" s="34"/>
      <c r="K595" s="34"/>
      <c r="L595" s="34"/>
      <c r="M595" s="73"/>
    </row>
    <row r="596" spans="1:13" s="18" customFormat="1" ht="18.75">
      <c r="A596" s="23"/>
      <c r="B596" s="107"/>
      <c r="C596" s="1157"/>
      <c r="D596" s="25"/>
      <c r="E596" s="82"/>
      <c r="F596" s="87"/>
      <c r="G596" s="34"/>
      <c r="H596" s="34"/>
      <c r="I596" s="34"/>
      <c r="J596" s="34"/>
      <c r="K596" s="34"/>
      <c r="L596" s="34"/>
      <c r="M596" s="73"/>
    </row>
    <row r="597" spans="1:13" s="18" customFormat="1" ht="18.75">
      <c r="A597" s="23"/>
      <c r="B597" s="107"/>
      <c r="C597" s="1157"/>
      <c r="D597" s="25"/>
      <c r="E597" s="82"/>
      <c r="F597" s="87"/>
      <c r="G597" s="34"/>
      <c r="H597" s="34"/>
      <c r="I597" s="34"/>
      <c r="J597" s="34"/>
      <c r="K597" s="34"/>
      <c r="L597" s="34"/>
      <c r="M597" s="73"/>
    </row>
    <row r="598" spans="1:13" s="18" customFormat="1" ht="18.75">
      <c r="A598" s="23"/>
      <c r="B598" s="107"/>
      <c r="C598" s="1157"/>
      <c r="D598" s="25"/>
      <c r="E598" s="82"/>
      <c r="F598" s="87"/>
      <c r="G598" s="34"/>
      <c r="H598" s="34"/>
      <c r="I598" s="34"/>
      <c r="J598" s="34"/>
      <c r="K598" s="34"/>
      <c r="L598" s="34"/>
      <c r="M598" s="73"/>
    </row>
    <row r="599" spans="1:13" s="18" customFormat="1" ht="18.75">
      <c r="A599" s="23"/>
      <c r="B599" s="107"/>
      <c r="C599" s="1157"/>
      <c r="D599" s="25"/>
      <c r="E599" s="82"/>
      <c r="F599" s="87"/>
      <c r="G599" s="34"/>
      <c r="H599" s="34"/>
      <c r="I599" s="34"/>
      <c r="J599" s="34"/>
      <c r="K599" s="34"/>
      <c r="L599" s="34"/>
      <c r="M599" s="73"/>
    </row>
    <row r="600" spans="1:13" s="18" customFormat="1" ht="18.75">
      <c r="A600" s="23"/>
      <c r="B600" s="107"/>
      <c r="C600" s="1157"/>
      <c r="D600" s="25"/>
      <c r="E600" s="82"/>
      <c r="F600" s="87"/>
      <c r="G600" s="34"/>
      <c r="H600" s="34"/>
      <c r="I600" s="34"/>
      <c r="J600" s="34"/>
      <c r="K600" s="34"/>
      <c r="L600" s="34"/>
      <c r="M600" s="73"/>
    </row>
    <row r="601" spans="1:13" s="18" customFormat="1" ht="18.75">
      <c r="A601" s="23"/>
      <c r="B601" s="107"/>
      <c r="C601" s="1157"/>
      <c r="D601" s="25"/>
      <c r="E601" s="82"/>
      <c r="F601" s="87"/>
      <c r="G601" s="34"/>
      <c r="H601" s="34"/>
      <c r="I601" s="34"/>
      <c r="J601" s="34"/>
      <c r="K601" s="34"/>
      <c r="L601" s="34"/>
      <c r="M601" s="73"/>
    </row>
    <row r="602" spans="1:13" s="18" customFormat="1" ht="18.75">
      <c r="A602" s="23"/>
      <c r="B602" s="107"/>
      <c r="C602" s="1157"/>
      <c r="D602" s="25"/>
      <c r="E602" s="82"/>
      <c r="F602" s="87"/>
      <c r="G602" s="34"/>
      <c r="H602" s="34"/>
      <c r="I602" s="34"/>
      <c r="J602" s="34"/>
      <c r="K602" s="34"/>
      <c r="L602" s="34"/>
      <c r="M602" s="73"/>
    </row>
    <row r="603" spans="1:13" s="18" customFormat="1" ht="18.75">
      <c r="A603" s="23"/>
      <c r="B603" s="107"/>
      <c r="C603" s="1157"/>
      <c r="D603" s="25"/>
      <c r="E603" s="82"/>
      <c r="F603" s="87"/>
      <c r="G603" s="34"/>
      <c r="H603" s="34"/>
      <c r="I603" s="34"/>
      <c r="J603" s="34"/>
      <c r="K603" s="34"/>
      <c r="L603" s="34"/>
      <c r="M603" s="73"/>
    </row>
    <row r="604" spans="1:13" s="18" customFormat="1" ht="18.75">
      <c r="A604" s="23"/>
      <c r="B604" s="107"/>
      <c r="C604" s="1157"/>
      <c r="D604" s="25"/>
      <c r="E604" s="82"/>
      <c r="F604" s="87"/>
      <c r="G604" s="34"/>
      <c r="H604" s="34"/>
      <c r="I604" s="34"/>
      <c r="J604" s="34"/>
      <c r="K604" s="34"/>
      <c r="L604" s="34"/>
      <c r="M604" s="73"/>
    </row>
    <row r="605" spans="1:13" s="18" customFormat="1" ht="18.75">
      <c r="A605" s="23"/>
      <c r="B605" s="107"/>
      <c r="C605" s="1157"/>
      <c r="D605" s="25"/>
      <c r="E605" s="82"/>
      <c r="F605" s="87"/>
      <c r="G605" s="34"/>
      <c r="H605" s="34"/>
      <c r="I605" s="34"/>
      <c r="J605" s="34"/>
      <c r="K605" s="34"/>
      <c r="L605" s="34"/>
      <c r="M605" s="73"/>
    </row>
    <row r="606" spans="1:13" s="18" customFormat="1" ht="18.75">
      <c r="A606" s="23"/>
      <c r="B606" s="107"/>
      <c r="C606" s="1157"/>
      <c r="D606" s="25"/>
      <c r="E606" s="82"/>
      <c r="F606" s="87"/>
      <c r="G606" s="34"/>
      <c r="H606" s="34"/>
      <c r="I606" s="34"/>
      <c r="J606" s="34"/>
      <c r="K606" s="34"/>
      <c r="L606" s="34"/>
      <c r="M606" s="73"/>
    </row>
    <row r="607" spans="1:13" s="18" customFormat="1" ht="18.75">
      <c r="A607" s="23"/>
      <c r="B607" s="107"/>
      <c r="C607" s="1157"/>
      <c r="D607" s="25"/>
      <c r="E607" s="82"/>
      <c r="F607" s="87"/>
      <c r="G607" s="34"/>
      <c r="H607" s="34"/>
      <c r="I607" s="34"/>
      <c r="J607" s="34"/>
      <c r="K607" s="34"/>
      <c r="L607" s="34"/>
      <c r="M607" s="73"/>
    </row>
    <row r="608" spans="1:13" s="18" customFormat="1" ht="18.75">
      <c r="A608" s="23"/>
      <c r="B608" s="107"/>
      <c r="C608" s="1157"/>
      <c r="D608" s="25"/>
      <c r="E608" s="82"/>
      <c r="F608" s="87"/>
      <c r="G608" s="34"/>
      <c r="H608" s="34"/>
      <c r="I608" s="34"/>
      <c r="J608" s="34"/>
      <c r="K608" s="34"/>
      <c r="L608" s="34"/>
      <c r="M608" s="73"/>
    </row>
    <row r="609" spans="1:13" s="18" customFormat="1" ht="18.75">
      <c r="A609" s="23"/>
      <c r="B609" s="107"/>
      <c r="C609" s="1157"/>
      <c r="D609" s="25"/>
      <c r="E609" s="82"/>
      <c r="F609" s="87"/>
      <c r="G609" s="34"/>
      <c r="H609" s="34"/>
      <c r="I609" s="34"/>
      <c r="J609" s="34"/>
      <c r="K609" s="34"/>
      <c r="L609" s="34"/>
      <c r="M609" s="73"/>
    </row>
    <row r="610" spans="1:13" s="18" customFormat="1" ht="18.75">
      <c r="A610" s="23"/>
      <c r="B610" s="107"/>
      <c r="C610" s="1157"/>
      <c r="D610" s="25"/>
      <c r="E610" s="82"/>
      <c r="F610" s="87"/>
      <c r="G610" s="34"/>
      <c r="H610" s="34"/>
      <c r="I610" s="34"/>
      <c r="J610" s="34"/>
      <c r="K610" s="34"/>
      <c r="L610" s="34"/>
      <c r="M610" s="73"/>
    </row>
    <row r="611" spans="1:13" s="18" customFormat="1" ht="18.75">
      <c r="A611" s="23"/>
      <c r="B611" s="107"/>
      <c r="C611" s="1157"/>
      <c r="D611" s="25"/>
      <c r="E611" s="82"/>
      <c r="F611" s="87"/>
      <c r="G611" s="34"/>
      <c r="H611" s="34"/>
      <c r="I611" s="34"/>
      <c r="J611" s="34"/>
      <c r="K611" s="34"/>
      <c r="L611" s="34"/>
      <c r="M611" s="73"/>
    </row>
    <row r="612" spans="1:13" s="18" customFormat="1" ht="18.75">
      <c r="A612" s="23"/>
      <c r="B612" s="107"/>
      <c r="C612" s="1157"/>
      <c r="D612" s="25"/>
      <c r="E612" s="82"/>
      <c r="F612" s="87"/>
      <c r="G612" s="34"/>
      <c r="H612" s="34"/>
      <c r="I612" s="34"/>
      <c r="J612" s="34"/>
      <c r="K612" s="34"/>
      <c r="L612" s="34"/>
      <c r="M612" s="73"/>
    </row>
    <row r="613" spans="1:13" s="18" customFormat="1" ht="18.75">
      <c r="A613" s="23"/>
      <c r="B613" s="107"/>
      <c r="C613" s="1157"/>
      <c r="D613" s="25"/>
      <c r="E613" s="82"/>
      <c r="F613" s="87"/>
      <c r="G613" s="34"/>
      <c r="H613" s="34"/>
      <c r="I613" s="34"/>
      <c r="J613" s="34"/>
      <c r="K613" s="34"/>
      <c r="L613" s="34"/>
      <c r="M613" s="73"/>
    </row>
    <row r="614" spans="1:13" s="18" customFormat="1" ht="18.75">
      <c r="A614" s="23"/>
      <c r="B614" s="107"/>
      <c r="C614" s="1157"/>
      <c r="D614" s="25"/>
      <c r="E614" s="82"/>
      <c r="F614" s="87"/>
      <c r="G614" s="34"/>
      <c r="H614" s="34"/>
      <c r="I614" s="34"/>
      <c r="J614" s="34"/>
      <c r="K614" s="34"/>
      <c r="L614" s="34"/>
      <c r="M614" s="73"/>
    </row>
    <row r="615" spans="1:13" s="18" customFormat="1" ht="18.75">
      <c r="A615" s="23"/>
      <c r="B615" s="107"/>
      <c r="C615" s="1157"/>
      <c r="D615" s="25"/>
      <c r="E615" s="82"/>
      <c r="F615" s="87"/>
      <c r="G615" s="34"/>
      <c r="H615" s="34"/>
      <c r="I615" s="34"/>
      <c r="J615" s="34"/>
      <c r="K615" s="34"/>
      <c r="L615" s="34"/>
      <c r="M615" s="73"/>
    </row>
    <row r="616" spans="1:13" s="18" customFormat="1" ht="18.75">
      <c r="A616" s="23"/>
      <c r="B616" s="107"/>
      <c r="C616" s="1157"/>
      <c r="D616" s="25"/>
      <c r="E616" s="82"/>
      <c r="F616" s="87"/>
      <c r="G616" s="34"/>
      <c r="H616" s="34"/>
      <c r="I616" s="34"/>
      <c r="J616" s="34"/>
      <c r="K616" s="34"/>
      <c r="L616" s="34"/>
      <c r="M616" s="73"/>
    </row>
    <row r="617" spans="1:13" s="18" customFormat="1" ht="18.75">
      <c r="A617" s="23"/>
      <c r="B617" s="107"/>
      <c r="C617" s="1157"/>
      <c r="D617" s="25"/>
      <c r="E617" s="82"/>
      <c r="F617" s="87"/>
      <c r="G617" s="34"/>
      <c r="H617" s="34"/>
      <c r="I617" s="34"/>
      <c r="J617" s="34"/>
      <c r="K617" s="34"/>
      <c r="L617" s="34"/>
      <c r="M617" s="73"/>
    </row>
    <row r="618" spans="1:13" s="18" customFormat="1" ht="18.75">
      <c r="A618" s="23"/>
      <c r="B618" s="107"/>
      <c r="C618" s="1157"/>
      <c r="D618" s="25"/>
      <c r="E618" s="82"/>
      <c r="F618" s="87"/>
      <c r="G618" s="34"/>
      <c r="H618" s="34"/>
      <c r="I618" s="34"/>
      <c r="J618" s="34"/>
      <c r="K618" s="34"/>
      <c r="L618" s="34"/>
      <c r="M618" s="73"/>
    </row>
    <row r="619" spans="1:13" s="18" customFormat="1" ht="18.75">
      <c r="A619" s="23"/>
      <c r="B619" s="107"/>
      <c r="C619" s="1157"/>
      <c r="D619" s="25"/>
      <c r="E619" s="82"/>
      <c r="F619" s="87"/>
      <c r="G619" s="34"/>
      <c r="H619" s="34"/>
      <c r="I619" s="34"/>
      <c r="J619" s="34"/>
      <c r="K619" s="34"/>
      <c r="L619" s="34"/>
      <c r="M619" s="73"/>
    </row>
    <row r="620" spans="1:13" s="18" customFormat="1" ht="18.75">
      <c r="A620" s="23"/>
      <c r="B620" s="107"/>
      <c r="C620" s="1157"/>
      <c r="D620" s="25"/>
      <c r="E620" s="82"/>
      <c r="F620" s="87"/>
      <c r="G620" s="34"/>
      <c r="H620" s="34"/>
      <c r="I620" s="34"/>
      <c r="J620" s="34"/>
      <c r="K620" s="34"/>
      <c r="L620" s="34"/>
      <c r="M620" s="73"/>
    </row>
    <row r="621" spans="1:13" s="18" customFormat="1" ht="18.75">
      <c r="A621" s="23"/>
      <c r="B621" s="107"/>
      <c r="C621" s="1157"/>
      <c r="D621" s="25"/>
      <c r="E621" s="82"/>
      <c r="F621" s="87"/>
      <c r="G621" s="34"/>
      <c r="H621" s="34"/>
      <c r="I621" s="34"/>
      <c r="J621" s="34"/>
      <c r="K621" s="34"/>
      <c r="L621" s="34"/>
      <c r="M621" s="73"/>
    </row>
    <row r="622" spans="1:13" s="18" customFormat="1" ht="18.75">
      <c r="A622" s="23"/>
      <c r="B622" s="107"/>
      <c r="C622" s="1157"/>
      <c r="D622" s="25"/>
      <c r="E622" s="82"/>
      <c r="F622" s="87"/>
      <c r="G622" s="34"/>
      <c r="H622" s="34"/>
      <c r="I622" s="34"/>
      <c r="J622" s="34"/>
      <c r="K622" s="34"/>
      <c r="L622" s="34"/>
      <c r="M622" s="73"/>
    </row>
    <row r="623" spans="1:13" s="18" customFormat="1" ht="18.75">
      <c r="A623" s="23"/>
      <c r="B623" s="107"/>
      <c r="C623" s="1157"/>
      <c r="D623" s="25"/>
      <c r="E623" s="82"/>
      <c r="F623" s="87"/>
      <c r="G623" s="34"/>
      <c r="H623" s="34"/>
      <c r="I623" s="34"/>
      <c r="J623" s="34"/>
      <c r="K623" s="34"/>
      <c r="L623" s="34"/>
      <c r="M623" s="73"/>
    </row>
    <row r="624" spans="1:13" s="18" customFormat="1" ht="18.75">
      <c r="A624" s="23"/>
      <c r="B624" s="107"/>
      <c r="C624" s="1157"/>
      <c r="D624" s="25"/>
      <c r="E624" s="82"/>
      <c r="F624" s="87"/>
      <c r="G624" s="34"/>
      <c r="H624" s="34"/>
      <c r="I624" s="34"/>
      <c r="J624" s="34"/>
      <c r="K624" s="34"/>
      <c r="L624" s="34"/>
      <c r="M624" s="73"/>
    </row>
    <row r="625" spans="1:13" s="18" customFormat="1" ht="18.75">
      <c r="A625" s="23"/>
      <c r="B625" s="107"/>
      <c r="C625" s="1157"/>
      <c r="D625" s="25"/>
      <c r="E625" s="82"/>
      <c r="F625" s="87"/>
      <c r="G625" s="34"/>
      <c r="H625" s="34"/>
      <c r="I625" s="34"/>
      <c r="J625" s="34"/>
      <c r="K625" s="34"/>
      <c r="L625" s="34"/>
      <c r="M625" s="73"/>
    </row>
    <row r="626" spans="1:13" s="18" customFormat="1" ht="18.75">
      <c r="A626" s="23"/>
      <c r="B626" s="107"/>
      <c r="C626" s="1157"/>
      <c r="D626" s="25"/>
      <c r="E626" s="82"/>
      <c r="F626" s="87"/>
      <c r="G626" s="34"/>
      <c r="H626" s="34"/>
      <c r="I626" s="34"/>
      <c r="J626" s="34"/>
      <c r="K626" s="34"/>
      <c r="L626" s="34"/>
      <c r="M626" s="73"/>
    </row>
    <row r="627" spans="1:13" s="18" customFormat="1" ht="18.75">
      <c r="A627" s="23"/>
      <c r="B627" s="107"/>
      <c r="C627" s="1157"/>
      <c r="D627" s="25"/>
      <c r="E627" s="82"/>
      <c r="F627" s="87"/>
      <c r="G627" s="34"/>
      <c r="H627" s="34"/>
      <c r="I627" s="34"/>
      <c r="J627" s="34"/>
      <c r="K627" s="34"/>
      <c r="L627" s="34"/>
      <c r="M627" s="73"/>
    </row>
    <row r="628" spans="1:13" s="18" customFormat="1" ht="18.75">
      <c r="A628" s="23"/>
      <c r="B628" s="107"/>
      <c r="C628" s="1157"/>
      <c r="D628" s="25"/>
      <c r="E628" s="82"/>
      <c r="F628" s="87"/>
      <c r="G628" s="34"/>
      <c r="H628" s="34"/>
      <c r="I628" s="34"/>
      <c r="J628" s="34"/>
      <c r="K628" s="34"/>
      <c r="L628" s="34"/>
      <c r="M628" s="73"/>
    </row>
    <row r="629" spans="1:13" s="18" customFormat="1" ht="18.75">
      <c r="A629" s="23"/>
      <c r="B629" s="107"/>
      <c r="C629" s="1157"/>
      <c r="D629" s="25"/>
      <c r="E629" s="82"/>
      <c r="F629" s="87"/>
      <c r="G629" s="34"/>
      <c r="H629" s="34"/>
      <c r="I629" s="34"/>
      <c r="J629" s="34"/>
      <c r="K629" s="34"/>
      <c r="L629" s="34"/>
      <c r="M629" s="73"/>
    </row>
    <row r="630" spans="1:13" s="18" customFormat="1" ht="18.75">
      <c r="A630" s="23"/>
      <c r="B630" s="107"/>
      <c r="C630" s="1157"/>
      <c r="D630" s="25"/>
      <c r="E630" s="82"/>
      <c r="F630" s="87"/>
      <c r="G630" s="34"/>
      <c r="H630" s="34"/>
      <c r="I630" s="34"/>
      <c r="J630" s="34"/>
      <c r="K630" s="34"/>
      <c r="L630" s="34"/>
      <c r="M630" s="73"/>
    </row>
    <row r="631" spans="1:13" s="18" customFormat="1" ht="18.75">
      <c r="A631" s="23"/>
      <c r="B631" s="107"/>
      <c r="C631" s="1157"/>
      <c r="D631" s="25"/>
      <c r="E631" s="82"/>
      <c r="F631" s="87"/>
      <c r="G631" s="34"/>
      <c r="H631" s="34"/>
      <c r="I631" s="34"/>
      <c r="J631" s="34"/>
      <c r="K631" s="34"/>
      <c r="L631" s="34"/>
      <c r="M631" s="73"/>
    </row>
    <row r="632" spans="1:13" s="18" customFormat="1" ht="18.75">
      <c r="A632" s="23"/>
      <c r="B632" s="107"/>
      <c r="C632" s="1157"/>
      <c r="D632" s="25"/>
      <c r="E632" s="82"/>
      <c r="F632" s="87"/>
      <c r="G632" s="34"/>
      <c r="H632" s="34"/>
      <c r="I632" s="34"/>
      <c r="J632" s="34"/>
      <c r="K632" s="34"/>
      <c r="L632" s="34"/>
      <c r="M632" s="73"/>
    </row>
    <row r="633" spans="1:13" s="18" customFormat="1" ht="18.75">
      <c r="A633" s="23"/>
      <c r="B633" s="107"/>
      <c r="C633" s="1157"/>
      <c r="D633" s="25"/>
      <c r="E633" s="82"/>
      <c r="F633" s="87"/>
      <c r="G633" s="34"/>
      <c r="H633" s="34"/>
      <c r="I633" s="34"/>
      <c r="J633" s="34"/>
      <c r="K633" s="34"/>
      <c r="L633" s="34"/>
      <c r="M633" s="73"/>
    </row>
    <row r="634" spans="1:13" s="18" customFormat="1" ht="18.75">
      <c r="A634" s="23"/>
      <c r="B634" s="107"/>
      <c r="C634" s="1157"/>
      <c r="D634" s="25"/>
      <c r="E634" s="82"/>
      <c r="F634" s="87"/>
      <c r="G634" s="34"/>
      <c r="H634" s="34"/>
      <c r="I634" s="34"/>
      <c r="J634" s="34"/>
      <c r="K634" s="34"/>
      <c r="L634" s="34"/>
      <c r="M634" s="73"/>
    </row>
    <row r="635" spans="1:13" s="18" customFormat="1" ht="18.75">
      <c r="A635" s="23"/>
      <c r="B635" s="107"/>
      <c r="C635" s="1157"/>
      <c r="D635" s="25"/>
      <c r="E635" s="82"/>
      <c r="F635" s="87"/>
      <c r="G635" s="34"/>
      <c r="H635" s="34"/>
      <c r="I635" s="34"/>
      <c r="J635" s="34"/>
      <c r="K635" s="34"/>
      <c r="L635" s="34"/>
      <c r="M635" s="73"/>
    </row>
    <row r="636" spans="1:13" s="18" customFormat="1" ht="18.75">
      <c r="A636" s="23"/>
      <c r="B636" s="107"/>
      <c r="C636" s="1157"/>
      <c r="D636" s="25"/>
      <c r="E636" s="82"/>
      <c r="F636" s="87"/>
      <c r="G636" s="34"/>
      <c r="H636" s="34"/>
      <c r="I636" s="34"/>
      <c r="J636" s="34"/>
      <c r="K636" s="34"/>
      <c r="L636" s="34"/>
      <c r="M636" s="73"/>
    </row>
    <row r="637" spans="1:13" s="18" customFormat="1" ht="18.75">
      <c r="A637" s="23"/>
      <c r="B637" s="107"/>
      <c r="C637" s="1157"/>
      <c r="D637" s="25"/>
      <c r="E637" s="82"/>
      <c r="F637" s="87"/>
      <c r="G637" s="34"/>
      <c r="H637" s="34"/>
      <c r="I637" s="34"/>
      <c r="J637" s="34"/>
      <c r="K637" s="34"/>
      <c r="L637" s="34"/>
      <c r="M637" s="73"/>
    </row>
    <row r="638" spans="1:13" s="18" customFormat="1" ht="18.75">
      <c r="A638" s="23"/>
      <c r="B638" s="107"/>
      <c r="C638" s="1157"/>
      <c r="D638" s="25"/>
      <c r="E638" s="82"/>
      <c r="F638" s="87"/>
      <c r="G638" s="34"/>
      <c r="H638" s="34"/>
      <c r="I638" s="34"/>
      <c r="J638" s="34"/>
      <c r="K638" s="34"/>
      <c r="L638" s="34"/>
      <c r="M638" s="73"/>
    </row>
    <row r="639" spans="1:13" s="18" customFormat="1" ht="18.75">
      <c r="A639" s="23"/>
      <c r="B639" s="107"/>
      <c r="C639" s="1157"/>
      <c r="D639" s="25"/>
      <c r="E639" s="82"/>
      <c r="F639" s="87"/>
      <c r="G639" s="34"/>
      <c r="H639" s="34"/>
      <c r="I639" s="34"/>
      <c r="J639" s="34"/>
      <c r="K639" s="34"/>
      <c r="L639" s="34"/>
      <c r="M639" s="73"/>
    </row>
    <row r="640" spans="1:13" s="18" customFormat="1" ht="18.75">
      <c r="A640" s="23"/>
      <c r="B640" s="107"/>
      <c r="C640" s="1157"/>
      <c r="D640" s="25"/>
      <c r="E640" s="82"/>
      <c r="F640" s="87"/>
      <c r="G640" s="34"/>
      <c r="H640" s="34"/>
      <c r="I640" s="34"/>
      <c r="J640" s="34"/>
      <c r="K640" s="34"/>
      <c r="L640" s="34"/>
      <c r="M640" s="73"/>
    </row>
    <row r="641" spans="1:13" s="18" customFormat="1" ht="18.75">
      <c r="A641" s="23"/>
      <c r="B641" s="107"/>
      <c r="C641" s="1157"/>
      <c r="D641" s="25"/>
      <c r="E641" s="82"/>
      <c r="F641" s="87"/>
      <c r="G641" s="34"/>
      <c r="H641" s="34"/>
      <c r="I641" s="34"/>
      <c r="J641" s="34"/>
      <c r="K641" s="34"/>
      <c r="L641" s="34"/>
      <c r="M641" s="73"/>
    </row>
    <row r="642" spans="1:13" s="18" customFormat="1" ht="18.75">
      <c r="A642" s="23"/>
      <c r="B642" s="107"/>
      <c r="C642" s="1157"/>
      <c r="D642" s="25"/>
      <c r="E642" s="82"/>
      <c r="F642" s="87"/>
      <c r="G642" s="34"/>
      <c r="H642" s="34"/>
      <c r="I642" s="34"/>
      <c r="J642" s="34"/>
      <c r="K642" s="34"/>
      <c r="L642" s="34"/>
      <c r="M642" s="73"/>
    </row>
    <row r="643" spans="1:13" s="18" customFormat="1" ht="18.75">
      <c r="A643" s="23"/>
      <c r="B643" s="107"/>
      <c r="C643" s="1157"/>
      <c r="D643" s="25"/>
      <c r="E643" s="82"/>
      <c r="F643" s="87"/>
      <c r="G643" s="34"/>
      <c r="H643" s="34"/>
      <c r="I643" s="34"/>
      <c r="J643" s="34"/>
      <c r="K643" s="34"/>
      <c r="L643" s="34"/>
      <c r="M643" s="73"/>
    </row>
    <row r="644" spans="1:13" s="18" customFormat="1" ht="18.75">
      <c r="A644" s="23"/>
      <c r="B644" s="107"/>
      <c r="C644" s="1157"/>
      <c r="D644" s="25"/>
      <c r="E644" s="82"/>
      <c r="F644" s="87"/>
      <c r="G644" s="34"/>
      <c r="H644" s="34"/>
      <c r="I644" s="34"/>
      <c r="J644" s="34"/>
      <c r="K644" s="34"/>
      <c r="L644" s="34"/>
      <c r="M644" s="73"/>
    </row>
    <row r="645" spans="1:13" s="18" customFormat="1" ht="18.75">
      <c r="A645" s="23"/>
      <c r="B645" s="107"/>
      <c r="C645" s="1157"/>
      <c r="D645" s="25"/>
      <c r="E645" s="82"/>
      <c r="F645" s="87"/>
      <c r="G645" s="34"/>
      <c r="H645" s="34"/>
      <c r="I645" s="34"/>
      <c r="J645" s="34"/>
      <c r="K645" s="34"/>
      <c r="L645" s="34"/>
      <c r="M645" s="73"/>
    </row>
    <row r="646" spans="1:13" s="18" customFormat="1" ht="18.75">
      <c r="A646" s="23"/>
      <c r="B646" s="107"/>
      <c r="C646" s="1157"/>
      <c r="D646" s="25"/>
      <c r="E646" s="82"/>
      <c r="F646" s="87"/>
      <c r="G646" s="34"/>
      <c r="H646" s="34"/>
      <c r="I646" s="34"/>
      <c r="J646" s="34"/>
      <c r="K646" s="34"/>
      <c r="L646" s="34"/>
      <c r="M646" s="73"/>
    </row>
    <row r="647" spans="1:13" s="18" customFormat="1" ht="18.75">
      <c r="A647" s="23"/>
      <c r="B647" s="107"/>
      <c r="C647" s="1157"/>
      <c r="D647" s="25"/>
      <c r="E647" s="82"/>
      <c r="F647" s="87"/>
      <c r="G647" s="34"/>
      <c r="H647" s="34"/>
      <c r="I647" s="34"/>
      <c r="J647" s="34"/>
      <c r="K647" s="34"/>
      <c r="L647" s="34"/>
      <c r="M647" s="73"/>
    </row>
    <row r="648" spans="1:13" s="18" customFormat="1" ht="18.75">
      <c r="A648" s="23"/>
      <c r="B648" s="107"/>
      <c r="C648" s="1157"/>
      <c r="D648" s="25"/>
      <c r="E648" s="82"/>
      <c r="F648" s="87"/>
      <c r="G648" s="34"/>
      <c r="H648" s="34"/>
      <c r="I648" s="34"/>
      <c r="J648" s="34"/>
      <c r="K648" s="34"/>
      <c r="L648" s="34"/>
      <c r="M648" s="73"/>
    </row>
    <row r="649" spans="1:13" s="18" customFormat="1" ht="18.75">
      <c r="A649" s="23"/>
      <c r="B649" s="107"/>
      <c r="C649" s="1157"/>
      <c r="D649" s="25"/>
      <c r="E649" s="82"/>
      <c r="F649" s="87"/>
      <c r="G649" s="34"/>
      <c r="H649" s="34"/>
      <c r="I649" s="34"/>
      <c r="J649" s="34"/>
      <c r="K649" s="34"/>
      <c r="L649" s="34"/>
      <c r="M649" s="73"/>
    </row>
    <row r="650" spans="1:13" s="18" customFormat="1" ht="18.75">
      <c r="A650" s="23"/>
      <c r="B650" s="107"/>
      <c r="C650" s="1157"/>
      <c r="D650" s="25"/>
      <c r="E650" s="82"/>
      <c r="F650" s="87"/>
      <c r="G650" s="34"/>
      <c r="H650" s="34"/>
      <c r="I650" s="34"/>
      <c r="J650" s="34"/>
      <c r="K650" s="34"/>
      <c r="L650" s="34"/>
      <c r="M650" s="73"/>
    </row>
    <row r="651" spans="1:13" s="18" customFormat="1" ht="18.75">
      <c r="A651" s="23"/>
      <c r="B651" s="107"/>
      <c r="C651" s="1157"/>
      <c r="D651" s="25"/>
      <c r="E651" s="82"/>
      <c r="F651" s="87"/>
      <c r="G651" s="34"/>
      <c r="H651" s="34"/>
      <c r="I651" s="34"/>
      <c r="J651" s="34"/>
      <c r="K651" s="34"/>
      <c r="L651" s="34"/>
      <c r="M651" s="73"/>
    </row>
    <row r="652" spans="1:13" s="18" customFormat="1" ht="18.75">
      <c r="A652" s="23"/>
      <c r="B652" s="107"/>
      <c r="C652" s="1157"/>
      <c r="D652" s="25"/>
      <c r="E652" s="82"/>
      <c r="F652" s="87"/>
      <c r="G652" s="34"/>
      <c r="H652" s="34"/>
      <c r="I652" s="34"/>
      <c r="J652" s="34"/>
      <c r="K652" s="34"/>
      <c r="L652" s="34"/>
      <c r="M652" s="73"/>
    </row>
    <row r="653" spans="1:13" s="18" customFormat="1" ht="18.75">
      <c r="A653" s="23"/>
      <c r="B653" s="107"/>
      <c r="C653" s="1157"/>
      <c r="D653" s="25"/>
      <c r="E653" s="82"/>
      <c r="F653" s="87"/>
      <c r="G653" s="34"/>
      <c r="H653" s="34"/>
      <c r="I653" s="34"/>
      <c r="J653" s="34"/>
      <c r="K653" s="34"/>
      <c r="L653" s="34"/>
      <c r="M653" s="73"/>
    </row>
    <row r="654" spans="1:13" s="18" customFormat="1" ht="18.75">
      <c r="A654" s="23"/>
      <c r="B654" s="107"/>
      <c r="C654" s="1157"/>
      <c r="D654" s="25"/>
      <c r="E654" s="82"/>
      <c r="F654" s="87"/>
      <c r="G654" s="34"/>
      <c r="H654" s="34"/>
      <c r="I654" s="34"/>
      <c r="J654" s="34"/>
      <c r="K654" s="34"/>
      <c r="L654" s="34"/>
      <c r="M654" s="73"/>
    </row>
    <row r="655" spans="1:13" s="18" customFormat="1" ht="18.75">
      <c r="A655" s="23"/>
      <c r="B655" s="107"/>
      <c r="C655" s="1157"/>
      <c r="D655" s="25"/>
      <c r="E655" s="82"/>
      <c r="F655" s="87"/>
      <c r="G655" s="34"/>
      <c r="H655" s="34"/>
      <c r="I655" s="34"/>
      <c r="J655" s="34"/>
      <c r="K655" s="34"/>
      <c r="L655" s="34"/>
      <c r="M655" s="73"/>
    </row>
    <row r="656" spans="1:13" s="18" customFormat="1" ht="18.75">
      <c r="A656" s="23"/>
      <c r="B656" s="107"/>
      <c r="C656" s="1157"/>
      <c r="D656" s="25"/>
      <c r="E656" s="82"/>
      <c r="F656" s="87"/>
      <c r="G656" s="34"/>
      <c r="H656" s="34"/>
      <c r="I656" s="34"/>
      <c r="J656" s="34"/>
      <c r="K656" s="34"/>
      <c r="L656" s="34"/>
      <c r="M656" s="73"/>
    </row>
    <row r="657" spans="1:13" s="18" customFormat="1" ht="18.75">
      <c r="A657" s="23"/>
      <c r="B657" s="107"/>
      <c r="C657" s="1157"/>
      <c r="D657" s="25"/>
      <c r="E657" s="82"/>
      <c r="F657" s="87"/>
      <c r="G657" s="34"/>
      <c r="H657" s="34"/>
      <c r="I657" s="34"/>
      <c r="J657" s="34"/>
      <c r="K657" s="34"/>
      <c r="L657" s="34"/>
      <c r="M657" s="73"/>
    </row>
    <row r="658" spans="1:13" s="18" customFormat="1" ht="18.75">
      <c r="A658" s="23"/>
      <c r="B658" s="107"/>
      <c r="C658" s="1157"/>
      <c r="D658" s="25"/>
      <c r="E658" s="82"/>
      <c r="F658" s="87"/>
      <c r="G658" s="34"/>
      <c r="H658" s="34"/>
      <c r="I658" s="34"/>
      <c r="J658" s="34"/>
      <c r="K658" s="34"/>
      <c r="L658" s="34"/>
      <c r="M658" s="73"/>
    </row>
    <row r="659" spans="1:13" s="18" customFormat="1" ht="18.75">
      <c r="A659" s="23"/>
      <c r="B659" s="107"/>
      <c r="C659" s="1157"/>
      <c r="D659" s="25"/>
      <c r="E659" s="82"/>
      <c r="F659" s="87"/>
      <c r="G659" s="34"/>
      <c r="H659" s="34"/>
      <c r="I659" s="34"/>
      <c r="J659" s="34"/>
      <c r="K659" s="34"/>
      <c r="L659" s="34"/>
      <c r="M659" s="73"/>
    </row>
    <row r="660" spans="1:13" s="18" customFormat="1" ht="18.75">
      <c r="A660" s="23"/>
      <c r="B660" s="107"/>
      <c r="C660" s="1157"/>
      <c r="D660" s="25"/>
      <c r="E660" s="82"/>
      <c r="F660" s="87"/>
      <c r="G660" s="34"/>
      <c r="H660" s="34"/>
      <c r="I660" s="34"/>
      <c r="J660" s="34"/>
      <c r="K660" s="34"/>
      <c r="L660" s="34"/>
      <c r="M660" s="73"/>
    </row>
    <row r="661" spans="1:13" s="18" customFormat="1" ht="18.75">
      <c r="A661" s="23"/>
      <c r="B661" s="107"/>
      <c r="C661" s="1157"/>
      <c r="D661" s="25"/>
      <c r="E661" s="82"/>
      <c r="F661" s="87"/>
      <c r="G661" s="34"/>
      <c r="H661" s="34"/>
      <c r="I661" s="34"/>
      <c r="J661" s="34"/>
      <c r="K661" s="34"/>
      <c r="L661" s="34"/>
      <c r="M661" s="73"/>
    </row>
    <row r="662" spans="1:13" s="18" customFormat="1" ht="18.75">
      <c r="A662" s="23"/>
      <c r="B662" s="107"/>
      <c r="C662" s="1157"/>
      <c r="D662" s="25"/>
      <c r="E662" s="82"/>
      <c r="F662" s="87"/>
      <c r="G662" s="34"/>
      <c r="H662" s="34"/>
      <c r="I662" s="34"/>
      <c r="J662" s="34"/>
      <c r="K662" s="34"/>
      <c r="L662" s="34"/>
      <c r="M662" s="73"/>
    </row>
    <row r="663" spans="1:13" s="18" customFormat="1" ht="18.75">
      <c r="A663" s="23"/>
      <c r="B663" s="107"/>
      <c r="C663" s="1157"/>
      <c r="D663" s="25"/>
      <c r="E663" s="82"/>
      <c r="F663" s="87"/>
      <c r="G663" s="34"/>
      <c r="H663" s="34"/>
      <c r="I663" s="34"/>
      <c r="J663" s="34"/>
      <c r="K663" s="34"/>
      <c r="L663" s="34"/>
      <c r="M663" s="73"/>
    </row>
    <row r="664" spans="1:13" s="18" customFormat="1" ht="18.75">
      <c r="A664" s="23"/>
      <c r="B664" s="107"/>
      <c r="C664" s="1157"/>
      <c r="D664" s="25"/>
      <c r="E664" s="82"/>
      <c r="F664" s="87"/>
      <c r="G664" s="34"/>
      <c r="H664" s="34"/>
      <c r="I664" s="34"/>
      <c r="J664" s="34"/>
      <c r="K664" s="34"/>
      <c r="L664" s="34"/>
      <c r="M664" s="73"/>
    </row>
    <row r="665" spans="1:13" s="18" customFormat="1" ht="18.75">
      <c r="A665" s="23"/>
      <c r="B665" s="107"/>
      <c r="C665" s="1157"/>
      <c r="D665" s="25"/>
      <c r="E665" s="82"/>
      <c r="F665" s="87"/>
      <c r="G665" s="34"/>
      <c r="H665" s="34"/>
      <c r="I665" s="34"/>
      <c r="J665" s="34"/>
      <c r="K665" s="34"/>
      <c r="L665" s="34"/>
      <c r="M665" s="73"/>
    </row>
    <row r="666" spans="1:13" s="18" customFormat="1" ht="18.75">
      <c r="A666" s="23"/>
      <c r="B666" s="107"/>
      <c r="C666" s="1157"/>
      <c r="D666" s="25"/>
      <c r="E666" s="82"/>
      <c r="F666" s="87"/>
      <c r="G666" s="34"/>
      <c r="H666" s="34"/>
      <c r="I666" s="34"/>
      <c r="J666" s="34"/>
      <c r="K666" s="34"/>
      <c r="L666" s="34"/>
      <c r="M666" s="73"/>
    </row>
    <row r="667" spans="1:13" s="18" customFormat="1" ht="18.75">
      <c r="A667" s="23"/>
      <c r="B667" s="107"/>
      <c r="C667" s="1157"/>
      <c r="D667" s="25"/>
      <c r="E667" s="82"/>
      <c r="F667" s="87"/>
      <c r="G667" s="34"/>
      <c r="H667" s="34"/>
      <c r="I667" s="34"/>
      <c r="J667" s="34"/>
      <c r="K667" s="34"/>
      <c r="L667" s="34"/>
      <c r="M667" s="73"/>
    </row>
    <row r="668" spans="1:13" s="18" customFormat="1" ht="18.75">
      <c r="A668" s="23"/>
      <c r="B668" s="107"/>
      <c r="C668" s="1157"/>
      <c r="D668" s="25"/>
      <c r="E668" s="82"/>
      <c r="F668" s="87"/>
      <c r="G668" s="34"/>
      <c r="H668" s="34"/>
      <c r="I668" s="34"/>
      <c r="J668" s="34"/>
      <c r="K668" s="34"/>
      <c r="L668" s="34"/>
      <c r="M668" s="73"/>
    </row>
    <row r="669" spans="1:13" s="18" customFormat="1" ht="18.75">
      <c r="A669" s="23"/>
      <c r="B669" s="107"/>
      <c r="C669" s="1157"/>
      <c r="D669" s="25"/>
      <c r="E669" s="82"/>
      <c r="F669" s="87"/>
      <c r="G669" s="34"/>
      <c r="H669" s="34"/>
      <c r="I669" s="34"/>
      <c r="J669" s="34"/>
      <c r="K669" s="34"/>
      <c r="L669" s="34"/>
      <c r="M669" s="73"/>
    </row>
    <row r="670" spans="1:13" s="18" customFormat="1" ht="18.75">
      <c r="A670" s="23"/>
      <c r="B670" s="107"/>
      <c r="C670" s="1157"/>
      <c r="D670" s="25"/>
      <c r="E670" s="82"/>
      <c r="F670" s="87"/>
      <c r="G670" s="34"/>
      <c r="H670" s="34"/>
      <c r="I670" s="34"/>
      <c r="J670" s="34"/>
      <c r="K670" s="34"/>
      <c r="L670" s="34"/>
      <c r="M670" s="73"/>
    </row>
    <row r="671" spans="1:13" s="18" customFormat="1" ht="18.75">
      <c r="A671" s="23"/>
      <c r="B671" s="107"/>
      <c r="C671" s="1157"/>
      <c r="D671" s="25"/>
      <c r="E671" s="82"/>
      <c r="F671" s="87"/>
      <c r="G671" s="34"/>
      <c r="H671" s="34"/>
      <c r="I671" s="34"/>
      <c r="J671" s="34"/>
      <c r="K671" s="34"/>
      <c r="L671" s="34"/>
      <c r="M671" s="73"/>
    </row>
    <row r="672" spans="1:13" s="18" customFormat="1" ht="18.75">
      <c r="A672" s="23"/>
      <c r="B672" s="107"/>
      <c r="C672" s="1157"/>
      <c r="D672" s="25"/>
      <c r="E672" s="82"/>
      <c r="F672" s="87"/>
      <c r="G672" s="34"/>
      <c r="H672" s="34"/>
      <c r="I672" s="34"/>
      <c r="J672" s="34"/>
      <c r="K672" s="34"/>
      <c r="L672" s="34"/>
      <c r="M672" s="73"/>
    </row>
    <row r="673" spans="1:13" s="18" customFormat="1" ht="18.75">
      <c r="A673" s="23"/>
      <c r="B673" s="107"/>
      <c r="C673" s="1157"/>
      <c r="D673" s="25"/>
      <c r="E673" s="82"/>
      <c r="F673" s="87"/>
      <c r="G673" s="34"/>
      <c r="H673" s="34"/>
      <c r="I673" s="34"/>
      <c r="J673" s="34"/>
      <c r="K673" s="34"/>
      <c r="L673" s="34"/>
      <c r="M673" s="73"/>
    </row>
    <row r="674" spans="1:13" s="18" customFormat="1" ht="18.75">
      <c r="A674" s="23"/>
      <c r="B674" s="107"/>
      <c r="C674" s="1157"/>
      <c r="D674" s="25"/>
      <c r="E674" s="82"/>
      <c r="F674" s="87"/>
      <c r="G674" s="34"/>
      <c r="H674" s="34"/>
      <c r="I674" s="34"/>
      <c r="J674" s="34"/>
      <c r="K674" s="34"/>
      <c r="L674" s="34"/>
      <c r="M674" s="73"/>
    </row>
    <row r="675" spans="1:13" s="18" customFormat="1" ht="18.75">
      <c r="A675" s="23"/>
      <c r="B675" s="107"/>
      <c r="C675" s="1157"/>
      <c r="D675" s="25"/>
      <c r="E675" s="82"/>
      <c r="F675" s="87"/>
      <c r="G675" s="34"/>
      <c r="H675" s="34"/>
      <c r="I675" s="34"/>
      <c r="J675" s="34"/>
      <c r="K675" s="34"/>
      <c r="L675" s="34"/>
      <c r="M675" s="73"/>
    </row>
    <row r="676" spans="1:13" s="18" customFormat="1" ht="18.75">
      <c r="A676" s="23"/>
      <c r="B676" s="107"/>
      <c r="C676" s="1157"/>
      <c r="D676" s="25"/>
      <c r="E676" s="82"/>
      <c r="F676" s="87"/>
      <c r="G676" s="34"/>
      <c r="H676" s="34"/>
      <c r="I676" s="34"/>
      <c r="J676" s="34"/>
      <c r="K676" s="34"/>
      <c r="L676" s="34"/>
      <c r="M676" s="73"/>
    </row>
    <row r="677" spans="1:13" s="18" customFormat="1" ht="18.75">
      <c r="A677" s="23"/>
      <c r="B677" s="107"/>
      <c r="C677" s="1157"/>
      <c r="D677" s="25"/>
      <c r="E677" s="82"/>
      <c r="F677" s="87"/>
      <c r="G677" s="34"/>
      <c r="H677" s="34"/>
      <c r="I677" s="34"/>
      <c r="J677" s="34"/>
      <c r="K677" s="34"/>
      <c r="L677" s="34"/>
      <c r="M677" s="73"/>
    </row>
    <row r="678" spans="1:13" s="18" customFormat="1" ht="18.75">
      <c r="A678" s="23"/>
      <c r="B678" s="107"/>
      <c r="C678" s="1157"/>
      <c r="D678" s="25"/>
      <c r="E678" s="82"/>
      <c r="F678" s="87"/>
      <c r="G678" s="34"/>
      <c r="H678" s="34"/>
      <c r="I678" s="34"/>
      <c r="J678" s="34"/>
      <c r="K678" s="34"/>
      <c r="L678" s="34"/>
      <c r="M678" s="73"/>
    </row>
    <row r="679" spans="1:13" s="18" customFormat="1" ht="18.75">
      <c r="A679" s="23"/>
      <c r="B679" s="107"/>
      <c r="C679" s="1157"/>
      <c r="D679" s="25"/>
      <c r="E679" s="82"/>
      <c r="F679" s="87"/>
      <c r="G679" s="34"/>
      <c r="H679" s="34"/>
      <c r="I679" s="34"/>
      <c r="J679" s="34"/>
      <c r="K679" s="34"/>
      <c r="L679" s="34"/>
      <c r="M679" s="73"/>
    </row>
    <row r="680" spans="1:13" s="18" customFormat="1" ht="18.75">
      <c r="A680" s="23"/>
      <c r="B680" s="107"/>
      <c r="C680" s="1157"/>
      <c r="D680" s="25"/>
      <c r="E680" s="82"/>
      <c r="F680" s="87"/>
      <c r="G680" s="34"/>
      <c r="H680" s="34"/>
      <c r="I680" s="34"/>
      <c r="J680" s="34"/>
      <c r="K680" s="34"/>
      <c r="L680" s="34"/>
      <c r="M680" s="73"/>
    </row>
    <row r="681" spans="1:13" s="18" customFormat="1" ht="18.75">
      <c r="A681" s="23"/>
      <c r="B681" s="107"/>
      <c r="C681" s="1157"/>
      <c r="D681" s="25"/>
      <c r="E681" s="82"/>
      <c r="F681" s="87"/>
      <c r="G681" s="34"/>
      <c r="H681" s="34"/>
      <c r="I681" s="34"/>
      <c r="J681" s="34"/>
      <c r="K681" s="34"/>
      <c r="L681" s="34"/>
      <c r="M681" s="73"/>
    </row>
    <row r="682" spans="1:13" s="18" customFormat="1" ht="18.75">
      <c r="A682" s="23"/>
      <c r="B682" s="107"/>
      <c r="C682" s="1157"/>
      <c r="D682" s="25"/>
      <c r="E682" s="82"/>
      <c r="F682" s="87"/>
      <c r="G682" s="34"/>
      <c r="H682" s="34"/>
      <c r="I682" s="34"/>
      <c r="J682" s="34"/>
      <c r="K682" s="34"/>
      <c r="L682" s="34"/>
      <c r="M682" s="73"/>
    </row>
    <row r="683" spans="1:13" s="18" customFormat="1" ht="18.75">
      <c r="A683" s="23"/>
      <c r="B683" s="107"/>
      <c r="C683" s="1157"/>
      <c r="D683" s="25"/>
      <c r="E683" s="82"/>
      <c r="F683" s="87"/>
      <c r="G683" s="34"/>
      <c r="H683" s="34"/>
      <c r="I683" s="34"/>
      <c r="J683" s="34"/>
      <c r="K683" s="34"/>
      <c r="L683" s="34"/>
      <c r="M683" s="73"/>
    </row>
    <row r="684" spans="1:13" s="18" customFormat="1" ht="18.75">
      <c r="A684" s="23"/>
      <c r="B684" s="107"/>
      <c r="C684" s="1157"/>
      <c r="D684" s="25"/>
      <c r="E684" s="82"/>
      <c r="F684" s="87"/>
      <c r="G684" s="34"/>
      <c r="H684" s="34"/>
      <c r="I684" s="34"/>
      <c r="J684" s="34"/>
      <c r="K684" s="34"/>
      <c r="L684" s="34"/>
      <c r="M684" s="73"/>
    </row>
    <row r="685" spans="1:13" s="18" customFormat="1" ht="18.75">
      <c r="A685" s="23"/>
      <c r="B685" s="107"/>
      <c r="C685" s="1157"/>
      <c r="D685" s="25"/>
      <c r="E685" s="82"/>
      <c r="F685" s="87"/>
      <c r="G685" s="34"/>
      <c r="H685" s="34"/>
      <c r="I685" s="34"/>
      <c r="J685" s="34"/>
      <c r="K685" s="34"/>
      <c r="L685" s="34"/>
      <c r="M685" s="73"/>
    </row>
    <row r="686" spans="1:13" s="18" customFormat="1" ht="18.75">
      <c r="A686" s="23"/>
      <c r="B686" s="107"/>
      <c r="C686" s="1157"/>
      <c r="D686" s="25"/>
      <c r="E686" s="82"/>
      <c r="F686" s="87"/>
      <c r="G686" s="34"/>
      <c r="H686" s="34"/>
      <c r="I686" s="34"/>
      <c r="J686" s="34"/>
      <c r="K686" s="34"/>
      <c r="L686" s="34"/>
      <c r="M686" s="73"/>
    </row>
    <row r="687" spans="1:13" s="18" customFormat="1" ht="18.75">
      <c r="A687" s="23"/>
      <c r="B687" s="107"/>
      <c r="C687" s="1157"/>
      <c r="D687" s="25"/>
      <c r="E687" s="82"/>
      <c r="F687" s="87"/>
      <c r="G687" s="34"/>
      <c r="H687" s="34"/>
      <c r="I687" s="34"/>
      <c r="J687" s="34"/>
      <c r="K687" s="34"/>
      <c r="L687" s="34"/>
      <c r="M687" s="73"/>
    </row>
    <row r="688" spans="1:13" s="18" customFormat="1" ht="18.75">
      <c r="A688" s="23"/>
      <c r="B688" s="107"/>
      <c r="C688" s="1157"/>
      <c r="D688" s="25"/>
      <c r="E688" s="82"/>
      <c r="F688" s="87"/>
      <c r="G688" s="34"/>
      <c r="H688" s="34"/>
      <c r="I688" s="34"/>
      <c r="J688" s="34"/>
      <c r="K688" s="34"/>
      <c r="L688" s="34"/>
      <c r="M688" s="73"/>
    </row>
    <row r="689" spans="1:13" s="18" customFormat="1" ht="18.75">
      <c r="A689" s="23"/>
      <c r="B689" s="107"/>
      <c r="C689" s="1157"/>
      <c r="D689" s="25"/>
      <c r="E689" s="82"/>
      <c r="F689" s="87"/>
      <c r="G689" s="34"/>
      <c r="H689" s="34"/>
      <c r="I689" s="34"/>
      <c r="J689" s="34"/>
      <c r="K689" s="34"/>
      <c r="L689" s="34"/>
      <c r="M689" s="73"/>
    </row>
    <row r="690" spans="1:13" s="18" customFormat="1" ht="18.75">
      <c r="A690" s="23"/>
      <c r="B690" s="107"/>
      <c r="C690" s="1157"/>
      <c r="D690" s="25"/>
      <c r="E690" s="82"/>
      <c r="F690" s="87"/>
      <c r="G690" s="34"/>
      <c r="H690" s="34"/>
      <c r="I690" s="34"/>
      <c r="J690" s="34"/>
      <c r="K690" s="34"/>
      <c r="L690" s="34"/>
      <c r="M690" s="73"/>
    </row>
    <row r="691" spans="1:13" s="18" customFormat="1" ht="18.75">
      <c r="A691" s="23"/>
      <c r="B691" s="107"/>
      <c r="C691" s="1157"/>
      <c r="D691" s="25"/>
      <c r="E691" s="82"/>
      <c r="F691" s="87"/>
      <c r="G691" s="34"/>
      <c r="H691" s="34"/>
      <c r="I691" s="34"/>
      <c r="J691" s="34"/>
      <c r="K691" s="34"/>
      <c r="L691" s="34"/>
      <c r="M691" s="73"/>
    </row>
    <row r="692" spans="1:13" s="18" customFormat="1" ht="18.75">
      <c r="A692" s="23"/>
      <c r="B692" s="107"/>
      <c r="C692" s="1157"/>
      <c r="D692" s="25"/>
      <c r="E692" s="82"/>
      <c r="F692" s="87"/>
      <c r="G692" s="34"/>
      <c r="H692" s="34"/>
      <c r="I692" s="34"/>
      <c r="J692" s="34"/>
      <c r="K692" s="34"/>
      <c r="L692" s="34"/>
      <c r="M692" s="73"/>
    </row>
    <row r="693" spans="1:13" s="18" customFormat="1" ht="18.75">
      <c r="A693" s="23"/>
      <c r="B693" s="107"/>
      <c r="C693" s="1157"/>
      <c r="D693" s="25"/>
      <c r="E693" s="82"/>
      <c r="F693" s="87"/>
      <c r="G693" s="34"/>
      <c r="H693" s="34"/>
      <c r="I693" s="34"/>
      <c r="J693" s="34"/>
      <c r="K693" s="34"/>
      <c r="L693" s="34"/>
      <c r="M693" s="73"/>
    </row>
    <row r="694" spans="1:13" s="18" customFormat="1" ht="18.75">
      <c r="A694" s="23"/>
      <c r="B694" s="107"/>
      <c r="C694" s="1157"/>
      <c r="D694" s="25"/>
      <c r="E694" s="82"/>
      <c r="F694" s="87"/>
      <c r="G694" s="34"/>
      <c r="H694" s="34"/>
      <c r="I694" s="34"/>
      <c r="J694" s="34"/>
      <c r="K694" s="34"/>
      <c r="L694" s="34"/>
      <c r="M694" s="73"/>
    </row>
    <row r="695" spans="1:13" s="18" customFormat="1" ht="18.75">
      <c r="A695" s="23"/>
      <c r="B695" s="107"/>
      <c r="C695" s="1157"/>
      <c r="D695" s="25"/>
      <c r="E695" s="82"/>
      <c r="F695" s="87"/>
      <c r="G695" s="34"/>
      <c r="H695" s="34"/>
      <c r="I695" s="34"/>
      <c r="J695" s="34"/>
      <c r="K695" s="34"/>
      <c r="L695" s="34"/>
      <c r="M695" s="73"/>
    </row>
    <row r="696" spans="1:13" s="18" customFormat="1" ht="18.75">
      <c r="A696" s="23"/>
      <c r="B696" s="107"/>
      <c r="C696" s="1157"/>
      <c r="D696" s="25"/>
      <c r="E696" s="82"/>
      <c r="F696" s="87"/>
      <c r="G696" s="34"/>
      <c r="H696" s="34"/>
      <c r="I696" s="34"/>
      <c r="J696" s="34"/>
      <c r="K696" s="34"/>
      <c r="L696" s="34"/>
      <c r="M696" s="73"/>
    </row>
    <row r="697" spans="1:13" s="18" customFormat="1" ht="18.75">
      <c r="A697" s="23"/>
      <c r="B697" s="107"/>
      <c r="C697" s="1157"/>
      <c r="D697" s="25"/>
      <c r="E697" s="82"/>
      <c r="F697" s="87"/>
      <c r="G697" s="34"/>
      <c r="H697" s="34"/>
      <c r="I697" s="34"/>
      <c r="J697" s="34"/>
      <c r="K697" s="34"/>
      <c r="L697" s="34"/>
      <c r="M697" s="73"/>
    </row>
    <row r="7372" spans="5:12" ht="18">
      <c r="E7372" s="84"/>
      <c r="F7372" s="89"/>
      <c r="G7372" s="35"/>
      <c r="H7372" s="35"/>
      <c r="I7372" s="35"/>
      <c r="J7372" s="35"/>
      <c r="K7372" s="35"/>
      <c r="L7372" s="35"/>
    </row>
    <row r="7373" spans="5:12" ht="18">
      <c r="E7373" s="84"/>
      <c r="F7373" s="89"/>
      <c r="G7373" s="35"/>
      <c r="H7373" s="35"/>
      <c r="I7373" s="35"/>
      <c r="J7373" s="35"/>
      <c r="K7373" s="35"/>
      <c r="L7373" s="35"/>
    </row>
    <row r="7374" spans="5:12" ht="18">
      <c r="E7374" s="84"/>
      <c r="F7374" s="89"/>
      <c r="G7374" s="35"/>
      <c r="H7374" s="35"/>
      <c r="I7374" s="35"/>
      <c r="J7374" s="35"/>
      <c r="K7374" s="35"/>
      <c r="L7374" s="35"/>
    </row>
    <row r="7375" spans="5:12" ht="18">
      <c r="E7375" s="84"/>
      <c r="F7375" s="89"/>
      <c r="G7375" s="35"/>
      <c r="H7375" s="35"/>
      <c r="I7375" s="35"/>
      <c r="J7375" s="35"/>
      <c r="K7375" s="35"/>
      <c r="L7375" s="35"/>
    </row>
    <row r="7376" spans="5:12" ht="18">
      <c r="E7376" s="84"/>
      <c r="F7376" s="89"/>
      <c r="G7376" s="35"/>
      <c r="H7376" s="35"/>
      <c r="I7376" s="35"/>
      <c r="J7376" s="35"/>
      <c r="K7376" s="35"/>
      <c r="L7376" s="35"/>
    </row>
    <row r="7377" spans="5:12" ht="18">
      <c r="E7377" s="84"/>
      <c r="F7377" s="89"/>
      <c r="G7377" s="35"/>
      <c r="H7377" s="35"/>
      <c r="I7377" s="35"/>
      <c r="J7377" s="35"/>
      <c r="K7377" s="35"/>
      <c r="L7377" s="35"/>
    </row>
    <row r="7378" spans="5:12" ht="18">
      <c r="E7378" s="84"/>
      <c r="F7378" s="89"/>
      <c r="G7378" s="35"/>
      <c r="H7378" s="35"/>
      <c r="I7378" s="35"/>
      <c r="J7378" s="35"/>
      <c r="K7378" s="35"/>
      <c r="L7378" s="35"/>
    </row>
    <row r="7379" spans="5:12" ht="18">
      <c r="E7379" s="84"/>
      <c r="F7379" s="89"/>
      <c r="G7379" s="35"/>
      <c r="H7379" s="35"/>
      <c r="I7379" s="35"/>
      <c r="J7379" s="35"/>
      <c r="K7379" s="35"/>
      <c r="L7379" s="35"/>
    </row>
    <row r="7380" spans="5:12" ht="18">
      <c r="E7380" s="84"/>
      <c r="F7380" s="89"/>
      <c r="G7380" s="35"/>
      <c r="H7380" s="35"/>
      <c r="I7380" s="35"/>
      <c r="J7380" s="35"/>
      <c r="K7380" s="35"/>
      <c r="L7380" s="35"/>
    </row>
    <row r="7381" spans="5:12" ht="18">
      <c r="E7381" s="84"/>
      <c r="F7381" s="89"/>
      <c r="G7381" s="35"/>
      <c r="H7381" s="35"/>
      <c r="I7381" s="35"/>
      <c r="J7381" s="35"/>
      <c r="K7381" s="35"/>
      <c r="L7381" s="35"/>
    </row>
    <row r="7382" spans="5:12" ht="18">
      <c r="E7382" s="84"/>
      <c r="F7382" s="89"/>
      <c r="G7382" s="35"/>
      <c r="H7382" s="35"/>
      <c r="I7382" s="35"/>
      <c r="J7382" s="35"/>
      <c r="K7382" s="35"/>
      <c r="L7382" s="35"/>
    </row>
    <row r="7383" spans="5:12" ht="18">
      <c r="E7383" s="84"/>
      <c r="F7383" s="89"/>
      <c r="G7383" s="35"/>
      <c r="H7383" s="35"/>
      <c r="I7383" s="35"/>
      <c r="J7383" s="35"/>
      <c r="K7383" s="35"/>
      <c r="L7383" s="35"/>
    </row>
    <row r="7384" spans="5:12" ht="18">
      <c r="E7384" s="84"/>
      <c r="F7384" s="89"/>
      <c r="G7384" s="35"/>
      <c r="H7384" s="35"/>
      <c r="I7384" s="35"/>
      <c r="J7384" s="35"/>
      <c r="K7384" s="35"/>
      <c r="L7384" s="35"/>
    </row>
    <row r="7385" spans="5:12" ht="18">
      <c r="E7385" s="84"/>
      <c r="F7385" s="89"/>
      <c r="G7385" s="35"/>
      <c r="H7385" s="35"/>
      <c r="I7385" s="35"/>
      <c r="J7385" s="35"/>
      <c r="K7385" s="35"/>
      <c r="L7385" s="35"/>
    </row>
    <row r="7386" spans="5:12" ht="18">
      <c r="E7386" s="84"/>
      <c r="F7386" s="89"/>
      <c r="G7386" s="35"/>
      <c r="H7386" s="35"/>
      <c r="I7386" s="35"/>
      <c r="J7386" s="35"/>
      <c r="K7386" s="35"/>
      <c r="L7386" s="35"/>
    </row>
    <row r="7387" spans="5:12" ht="18">
      <c r="E7387" s="85"/>
      <c r="F7387" s="90"/>
      <c r="G7387" s="36"/>
      <c r="H7387" s="36"/>
      <c r="I7387" s="36"/>
      <c r="J7387" s="36"/>
      <c r="K7387" s="36"/>
      <c r="L7387" s="36"/>
    </row>
    <row r="7388" spans="5:12" ht="18">
      <c r="E7388" s="85"/>
      <c r="F7388" s="90"/>
      <c r="G7388" s="36"/>
      <c r="H7388" s="36"/>
      <c r="I7388" s="36"/>
      <c r="J7388" s="36"/>
      <c r="K7388" s="36"/>
      <c r="L7388" s="36"/>
    </row>
    <row r="7389" spans="5:12" ht="18">
      <c r="E7389" s="85"/>
      <c r="F7389" s="90"/>
      <c r="G7389" s="36"/>
      <c r="H7389" s="36"/>
      <c r="I7389" s="36"/>
      <c r="J7389" s="36"/>
      <c r="K7389" s="36"/>
      <c r="L7389" s="36"/>
    </row>
    <row r="7390" spans="5:12" ht="18">
      <c r="E7390" s="85"/>
      <c r="F7390" s="90"/>
      <c r="G7390" s="36"/>
      <c r="H7390" s="36"/>
      <c r="I7390" s="36"/>
      <c r="J7390" s="36"/>
      <c r="K7390" s="36"/>
      <c r="L7390" s="36"/>
    </row>
    <row r="7391" spans="5:12" ht="18">
      <c r="E7391" s="85"/>
      <c r="F7391" s="90"/>
      <c r="G7391" s="36"/>
      <c r="H7391" s="36"/>
      <c r="I7391" s="36"/>
      <c r="J7391" s="36"/>
      <c r="K7391" s="36"/>
      <c r="L7391" s="36"/>
    </row>
    <row r="7392" spans="5:12" ht="18">
      <c r="E7392" s="85"/>
      <c r="F7392" s="90"/>
      <c r="G7392" s="36"/>
      <c r="H7392" s="36"/>
      <c r="I7392" s="36"/>
      <c r="J7392" s="36"/>
      <c r="K7392" s="36"/>
      <c r="L7392" s="36"/>
    </row>
    <row r="7393" spans="5:12" ht="18">
      <c r="E7393" s="85"/>
      <c r="F7393" s="90"/>
      <c r="G7393" s="36"/>
      <c r="H7393" s="36"/>
      <c r="I7393" s="36"/>
      <c r="J7393" s="36"/>
      <c r="K7393" s="36"/>
      <c r="L7393" s="36"/>
    </row>
    <row r="7394" spans="5:12" ht="18">
      <c r="E7394" s="85"/>
      <c r="F7394" s="90"/>
      <c r="G7394" s="36"/>
      <c r="H7394" s="36"/>
      <c r="I7394" s="36"/>
      <c r="J7394" s="36"/>
      <c r="K7394" s="36"/>
      <c r="L7394" s="36"/>
    </row>
    <row r="7395" spans="5:12" ht="18">
      <c r="E7395" s="85"/>
      <c r="F7395" s="90"/>
      <c r="G7395" s="36"/>
      <c r="H7395" s="36"/>
      <c r="I7395" s="36"/>
      <c r="J7395" s="36"/>
      <c r="K7395" s="36"/>
      <c r="L7395" s="36"/>
    </row>
    <row r="7396" spans="5:12" ht="18">
      <c r="E7396" s="85"/>
      <c r="F7396" s="90"/>
      <c r="G7396" s="36"/>
      <c r="H7396" s="36"/>
      <c r="I7396" s="36"/>
      <c r="J7396" s="36"/>
      <c r="K7396" s="36"/>
      <c r="L7396" s="36"/>
    </row>
    <row r="7397" spans="5:12" ht="18">
      <c r="E7397" s="85"/>
      <c r="F7397" s="90"/>
      <c r="G7397" s="36"/>
      <c r="H7397" s="36"/>
      <c r="I7397" s="36"/>
      <c r="J7397" s="36"/>
      <c r="K7397" s="36"/>
      <c r="L7397" s="36"/>
    </row>
    <row r="7398" spans="5:12" ht="18">
      <c r="E7398" s="85"/>
      <c r="F7398" s="90"/>
      <c r="G7398" s="36"/>
      <c r="H7398" s="36"/>
      <c r="I7398" s="36"/>
      <c r="J7398" s="36"/>
      <c r="K7398" s="36"/>
      <c r="L7398" s="36"/>
    </row>
    <row r="7399" spans="5:12" ht="18">
      <c r="E7399" s="85"/>
      <c r="F7399" s="90"/>
      <c r="G7399" s="36"/>
      <c r="H7399" s="36"/>
      <c r="I7399" s="36"/>
      <c r="J7399" s="36"/>
      <c r="K7399" s="36"/>
      <c r="L7399" s="36"/>
    </row>
    <row r="7400" spans="5:12" ht="18">
      <c r="E7400" s="85"/>
      <c r="F7400" s="90"/>
      <c r="G7400" s="36"/>
      <c r="H7400" s="36"/>
      <c r="I7400" s="36"/>
      <c r="J7400" s="36"/>
      <c r="K7400" s="36"/>
      <c r="L7400" s="36"/>
    </row>
    <row r="7401" spans="5:12" ht="18">
      <c r="E7401" s="85"/>
      <c r="F7401" s="90"/>
      <c r="G7401" s="36"/>
      <c r="H7401" s="36"/>
      <c r="I7401" s="36"/>
      <c r="J7401" s="36"/>
      <c r="K7401" s="36"/>
      <c r="L7401" s="36"/>
    </row>
    <row r="7402" spans="5:12" ht="18">
      <c r="E7402" s="85"/>
      <c r="F7402" s="90"/>
      <c r="G7402" s="36"/>
      <c r="H7402" s="36"/>
      <c r="I7402" s="36"/>
      <c r="J7402" s="36"/>
      <c r="K7402" s="36"/>
      <c r="L7402" s="36"/>
    </row>
    <row r="7403" spans="5:12" ht="18">
      <c r="E7403" s="85"/>
      <c r="F7403" s="90"/>
      <c r="G7403" s="36"/>
      <c r="H7403" s="36"/>
      <c r="I7403" s="36"/>
      <c r="J7403" s="36"/>
      <c r="K7403" s="36"/>
      <c r="L7403" s="36"/>
    </row>
    <row r="7404" spans="5:12" ht="18">
      <c r="E7404" s="85"/>
      <c r="F7404" s="90"/>
      <c r="G7404" s="36"/>
      <c r="H7404" s="36"/>
      <c r="I7404" s="36"/>
      <c r="J7404" s="36"/>
      <c r="K7404" s="36"/>
      <c r="L7404" s="36"/>
    </row>
    <row r="7405" spans="5:12" ht="18">
      <c r="E7405" s="85"/>
      <c r="F7405" s="90"/>
      <c r="G7405" s="36"/>
      <c r="H7405" s="36"/>
      <c r="I7405" s="36"/>
      <c r="J7405" s="36"/>
      <c r="K7405" s="36"/>
      <c r="L7405" s="36"/>
    </row>
    <row r="7406" spans="5:12" ht="18">
      <c r="E7406" s="85"/>
      <c r="F7406" s="90"/>
      <c r="G7406" s="36"/>
      <c r="H7406" s="36"/>
      <c r="I7406" s="36"/>
      <c r="J7406" s="36"/>
      <c r="K7406" s="36"/>
      <c r="L7406" s="36"/>
    </row>
    <row r="7407" spans="5:12" ht="18">
      <c r="E7407" s="85"/>
      <c r="F7407" s="90"/>
      <c r="G7407" s="36"/>
      <c r="H7407" s="36"/>
      <c r="I7407" s="36"/>
      <c r="J7407" s="36"/>
      <c r="K7407" s="36"/>
      <c r="L7407" s="36"/>
    </row>
    <row r="7408" spans="5:12" ht="18">
      <c r="E7408" s="85"/>
      <c r="F7408" s="90"/>
      <c r="G7408" s="36"/>
      <c r="H7408" s="36"/>
      <c r="I7408" s="36"/>
      <c r="J7408" s="36"/>
      <c r="K7408" s="36"/>
      <c r="L7408" s="36"/>
    </row>
    <row r="7409" spans="5:12" ht="18">
      <c r="E7409" s="85"/>
      <c r="F7409" s="90"/>
      <c r="G7409" s="36"/>
      <c r="H7409" s="36"/>
      <c r="I7409" s="36"/>
      <c r="J7409" s="36"/>
      <c r="K7409" s="36"/>
      <c r="L7409" s="36"/>
    </row>
    <row r="7410" spans="5:12" ht="18">
      <c r="E7410" s="85"/>
      <c r="F7410" s="90"/>
      <c r="G7410" s="36"/>
      <c r="H7410" s="36"/>
      <c r="I7410" s="36"/>
      <c r="J7410" s="36"/>
      <c r="K7410" s="36"/>
      <c r="L7410" s="36"/>
    </row>
    <row r="7411" spans="5:12" ht="18">
      <c r="E7411" s="85"/>
      <c r="F7411" s="90"/>
      <c r="G7411" s="36"/>
      <c r="H7411" s="36"/>
      <c r="I7411" s="36"/>
      <c r="J7411" s="36"/>
      <c r="K7411" s="36"/>
      <c r="L7411" s="36"/>
    </row>
    <row r="7412" spans="5:12" ht="18">
      <c r="E7412" s="85"/>
      <c r="F7412" s="90"/>
      <c r="G7412" s="36"/>
      <c r="H7412" s="36"/>
      <c r="I7412" s="36"/>
      <c r="J7412" s="36"/>
      <c r="K7412" s="36"/>
      <c r="L7412" s="36"/>
    </row>
    <row r="7413" spans="5:12" ht="18">
      <c r="E7413" s="85"/>
      <c r="F7413" s="90"/>
      <c r="G7413" s="36"/>
      <c r="H7413" s="36"/>
      <c r="I7413" s="36"/>
      <c r="J7413" s="36"/>
      <c r="K7413" s="36"/>
      <c r="L7413" s="36"/>
    </row>
    <row r="7414" spans="1:13" ht="18">
      <c r="A7414" s="140"/>
      <c r="B7414" s="109"/>
      <c r="E7414" s="85"/>
      <c r="F7414" s="90"/>
      <c r="G7414" s="36"/>
      <c r="H7414" s="36"/>
      <c r="I7414" s="36"/>
      <c r="J7414" s="36"/>
      <c r="K7414" s="36"/>
      <c r="L7414" s="36"/>
      <c r="M7414" s="30"/>
    </row>
    <row r="7415" spans="1:13" ht="18">
      <c r="A7415" s="141"/>
      <c r="B7415" s="142"/>
      <c r="C7415" s="1246"/>
      <c r="D7415" s="27"/>
      <c r="E7415" s="86"/>
      <c r="F7415" s="91"/>
      <c r="G7415" s="31"/>
      <c r="H7415" s="31"/>
      <c r="I7415" s="31"/>
      <c r="J7415" s="31"/>
      <c r="K7415" s="31"/>
      <c r="L7415" s="31"/>
      <c r="M7415" s="37"/>
    </row>
  </sheetData>
  <mergeCells count="11">
    <mergeCell ref="E180:M180"/>
    <mergeCell ref="E176:M176"/>
    <mergeCell ref="E173:M173"/>
    <mergeCell ref="E177:M177"/>
    <mergeCell ref="E178:M178"/>
    <mergeCell ref="E179:M179"/>
    <mergeCell ref="A1:A2"/>
    <mergeCell ref="E1:E2"/>
    <mergeCell ref="F1:M1"/>
    <mergeCell ref="E172:M172"/>
    <mergeCell ref="E171:M171"/>
  </mergeCells>
  <printOptions horizontalCentered="1"/>
  <pageMargins left="0.5905511811023623" right="0.3937007874015748" top="0.4724409448818898" bottom="0.5905511811023623" header="0.1968503937007874" footer="0.1968503937007874"/>
  <pageSetup fitToHeight="100" fitToWidth="1" horizontalDpi="300" verticalDpi="300" orientation="landscape" paperSize="9" scale="10" r:id="rId1"/>
  <headerFooter alignWithMargins="0">
    <oddHeader>&amp;C&amp;"Arial CE,Kursywa"&amp;24Objaśnienia do budżetu gminy Łęczna na 2007 rok</oddHeader>
    <oddFooter>&amp;C&amp;"Arial CE,Kursywa"&amp;28-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448"/>
  <sheetViews>
    <sheetView zoomScale="80" zoomScaleNormal="80" workbookViewId="0" topLeftCell="A1">
      <pane xSplit="5" ySplit="2" topLeftCell="H52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L527" sqref="L527"/>
    </sheetView>
  </sheetViews>
  <sheetFormatPr defaultColWidth="9.00390625" defaultRowHeight="12.75"/>
  <cols>
    <col min="1" max="1" width="6.125" style="139" customWidth="1"/>
    <col min="2" max="2" width="13.875" style="108" customWidth="1"/>
    <col min="3" max="3" width="4.25390625" style="1245" customWidth="1"/>
    <col min="4" max="4" width="2.25390625" style="24" customWidth="1"/>
    <col min="5" max="5" width="89.25390625" style="83" customWidth="1"/>
    <col min="6" max="6" width="20.875" style="88" bestFit="1" customWidth="1"/>
    <col min="7" max="7" width="20.625" style="33" bestFit="1" customWidth="1"/>
    <col min="8" max="8" width="20.75390625" style="33" bestFit="1" customWidth="1"/>
    <col min="9" max="9" width="21.25390625" style="33" bestFit="1" customWidth="1"/>
    <col min="10" max="10" width="20.25390625" style="33" bestFit="1" customWidth="1"/>
    <col min="11" max="11" width="18.875" style="33" bestFit="1" customWidth="1"/>
    <col min="12" max="12" width="23.125" style="33" bestFit="1" customWidth="1"/>
    <col min="13" max="13" width="22.375" style="29" customWidth="1"/>
    <col min="14" max="16384" width="11.375" style="1" customWidth="1"/>
  </cols>
  <sheetData>
    <row r="1" spans="1:13" s="18" customFormat="1" ht="27.75" customHeight="1">
      <c r="A1" s="2047" t="s">
        <v>708</v>
      </c>
      <c r="B1" s="144" t="s">
        <v>707</v>
      </c>
      <c r="C1" s="1146"/>
      <c r="D1" s="145"/>
      <c r="E1" s="2058" t="s">
        <v>710</v>
      </c>
      <c r="F1" s="2051" t="s">
        <v>714</v>
      </c>
      <c r="G1" s="2052"/>
      <c r="H1" s="2052"/>
      <c r="I1" s="2052"/>
      <c r="J1" s="2052"/>
      <c r="K1" s="2052"/>
      <c r="L1" s="2052"/>
      <c r="M1" s="2053"/>
    </row>
    <row r="2" spans="1:13" s="18" customFormat="1" ht="133.5" customHeight="1">
      <c r="A2" s="2048"/>
      <c r="B2" s="143" t="s">
        <v>709</v>
      </c>
      <c r="C2" s="1147"/>
      <c r="D2" s="26"/>
      <c r="E2" s="2059"/>
      <c r="F2" s="135" t="s">
        <v>712</v>
      </c>
      <c r="G2" s="136" t="s">
        <v>713</v>
      </c>
      <c r="H2" s="137" t="s">
        <v>519</v>
      </c>
      <c r="I2" s="137" t="s">
        <v>520</v>
      </c>
      <c r="J2" s="135" t="s">
        <v>715</v>
      </c>
      <c r="K2" s="135" t="s">
        <v>518</v>
      </c>
      <c r="L2" s="135" t="s">
        <v>521</v>
      </c>
      <c r="M2" s="138" t="s">
        <v>711</v>
      </c>
    </row>
    <row r="3" spans="1:13" s="3" customFormat="1" ht="47.25" customHeight="1">
      <c r="A3" s="151">
        <v>1</v>
      </c>
      <c r="B3" s="152" t="s">
        <v>524</v>
      </c>
      <c r="C3" s="1148"/>
      <c r="D3" s="154"/>
      <c r="E3" s="155" t="s">
        <v>525</v>
      </c>
      <c r="F3" s="156">
        <f>F4+F6</f>
        <v>0</v>
      </c>
      <c r="G3" s="157">
        <f aca="true" t="shared" si="0" ref="G3:M3">G4+G6</f>
        <v>0</v>
      </c>
      <c r="H3" s="156">
        <f t="shared" si="0"/>
        <v>0</v>
      </c>
      <c r="I3" s="156">
        <f t="shared" si="0"/>
        <v>0</v>
      </c>
      <c r="J3" s="156">
        <f t="shared" si="0"/>
        <v>0</v>
      </c>
      <c r="K3" s="156">
        <f t="shared" si="0"/>
        <v>0</v>
      </c>
      <c r="L3" s="156">
        <f t="shared" si="0"/>
        <v>32000</v>
      </c>
      <c r="M3" s="156">
        <f t="shared" si="0"/>
        <v>32000</v>
      </c>
    </row>
    <row r="4" spans="1:13" s="4" customFormat="1" ht="60.75" customHeight="1">
      <c r="A4" s="158"/>
      <c r="B4" s="159" t="s">
        <v>898</v>
      </c>
      <c r="C4" s="1149"/>
      <c r="D4" s="160"/>
      <c r="E4" s="161" t="s">
        <v>899</v>
      </c>
      <c r="F4" s="162">
        <f>F5</f>
        <v>0</v>
      </c>
      <c r="G4" s="163">
        <f aca="true" t="shared" si="1" ref="G4:L4">G5</f>
        <v>0</v>
      </c>
      <c r="H4" s="164">
        <f t="shared" si="1"/>
        <v>0</v>
      </c>
      <c r="I4" s="164">
        <f t="shared" si="1"/>
        <v>0</v>
      </c>
      <c r="J4" s="164">
        <f t="shared" si="1"/>
        <v>0</v>
      </c>
      <c r="K4" s="164">
        <f t="shared" si="1"/>
        <v>0</v>
      </c>
      <c r="L4" s="164">
        <f t="shared" si="1"/>
        <v>20000</v>
      </c>
      <c r="M4" s="165">
        <f>M5</f>
        <v>20000</v>
      </c>
    </row>
    <row r="5" spans="1:14" s="3" customFormat="1" ht="40.5" customHeight="1">
      <c r="A5" s="158"/>
      <c r="B5" s="166"/>
      <c r="C5" s="1150">
        <v>1</v>
      </c>
      <c r="D5" s="167"/>
      <c r="E5" s="168" t="s">
        <v>900</v>
      </c>
      <c r="F5" s="169"/>
      <c r="G5" s="170"/>
      <c r="H5" s="171"/>
      <c r="I5" s="171"/>
      <c r="J5" s="171"/>
      <c r="K5" s="172"/>
      <c r="L5" s="170">
        <v>20000</v>
      </c>
      <c r="M5" s="172">
        <f>SUM(F5:L5)</f>
        <v>20000</v>
      </c>
      <c r="N5" s="3" t="s">
        <v>526</v>
      </c>
    </row>
    <row r="6" spans="1:13" s="47" customFormat="1" ht="45" customHeight="1">
      <c r="A6" s="173"/>
      <c r="B6" s="174" t="s">
        <v>527</v>
      </c>
      <c r="C6" s="1151"/>
      <c r="D6" s="175"/>
      <c r="E6" s="176" t="s">
        <v>528</v>
      </c>
      <c r="F6" s="177">
        <f>F7</f>
        <v>0</v>
      </c>
      <c r="G6" s="178">
        <f aca="true" t="shared" si="2" ref="G6:M6">G7</f>
        <v>0</v>
      </c>
      <c r="H6" s="177">
        <f t="shared" si="2"/>
        <v>0</v>
      </c>
      <c r="I6" s="177">
        <f t="shared" si="2"/>
        <v>0</v>
      </c>
      <c r="J6" s="177">
        <f t="shared" si="2"/>
        <v>0</v>
      </c>
      <c r="K6" s="177">
        <f t="shared" si="2"/>
        <v>0</v>
      </c>
      <c r="L6" s="177">
        <f t="shared" si="2"/>
        <v>12000</v>
      </c>
      <c r="M6" s="177">
        <f t="shared" si="2"/>
        <v>12000</v>
      </c>
    </row>
    <row r="7" spans="1:14" s="45" customFormat="1" ht="53.25" customHeight="1">
      <c r="A7" s="179"/>
      <c r="B7" s="180"/>
      <c r="C7" s="1152">
        <v>1</v>
      </c>
      <c r="D7" s="181"/>
      <c r="E7" s="182" t="s">
        <v>529</v>
      </c>
      <c r="F7" s="183"/>
      <c r="G7" s="184"/>
      <c r="H7" s="185"/>
      <c r="I7" s="185"/>
      <c r="J7" s="185"/>
      <c r="K7" s="186"/>
      <c r="L7" s="185">
        <v>12000</v>
      </c>
      <c r="M7" s="187">
        <f>L7</f>
        <v>12000</v>
      </c>
      <c r="N7" s="45" t="s">
        <v>526</v>
      </c>
    </row>
    <row r="8" spans="1:13" s="46" customFormat="1" ht="48" customHeight="1">
      <c r="A8" s="151">
        <v>2</v>
      </c>
      <c r="B8" s="152">
        <v>600</v>
      </c>
      <c r="C8" s="1148"/>
      <c r="D8" s="154"/>
      <c r="E8" s="155" t="s">
        <v>25</v>
      </c>
      <c r="F8" s="156">
        <f>F9</f>
        <v>0</v>
      </c>
      <c r="G8" s="188">
        <f aca="true" t="shared" si="3" ref="G8:M8">G9</f>
        <v>0</v>
      </c>
      <c r="H8" s="188">
        <f t="shared" si="3"/>
        <v>6789750</v>
      </c>
      <c r="I8" s="188">
        <f t="shared" si="3"/>
        <v>0</v>
      </c>
      <c r="J8" s="188">
        <f t="shared" si="3"/>
        <v>0</v>
      </c>
      <c r="K8" s="188">
        <f t="shared" si="3"/>
        <v>0</v>
      </c>
      <c r="L8" s="188">
        <f t="shared" si="3"/>
        <v>7296250</v>
      </c>
      <c r="M8" s="157">
        <f t="shared" si="3"/>
        <v>14086000</v>
      </c>
    </row>
    <row r="9" spans="1:13" s="46" customFormat="1" ht="44.25" customHeight="1">
      <c r="A9" s="158"/>
      <c r="B9" s="189">
        <v>60016</v>
      </c>
      <c r="C9" s="1149"/>
      <c r="D9" s="160"/>
      <c r="E9" s="161" t="s">
        <v>26</v>
      </c>
      <c r="F9" s="162">
        <f>SUM(F10:F39)</f>
        <v>0</v>
      </c>
      <c r="G9" s="163">
        <f aca="true" t="shared" si="4" ref="G9:M9">SUM(G10:G39)</f>
        <v>0</v>
      </c>
      <c r="H9" s="163">
        <f t="shared" si="4"/>
        <v>6789750</v>
      </c>
      <c r="I9" s="163">
        <f t="shared" si="4"/>
        <v>0</v>
      </c>
      <c r="J9" s="163">
        <f t="shared" si="4"/>
        <v>0</v>
      </c>
      <c r="K9" s="163">
        <f t="shared" si="4"/>
        <v>0</v>
      </c>
      <c r="L9" s="163">
        <f t="shared" si="4"/>
        <v>7296250</v>
      </c>
      <c r="M9" s="190">
        <f t="shared" si="4"/>
        <v>14086000</v>
      </c>
    </row>
    <row r="10" spans="1:24" s="46" customFormat="1" ht="66" customHeight="1">
      <c r="A10" s="158"/>
      <c r="B10" s="166"/>
      <c r="C10" s="1150">
        <v>1</v>
      </c>
      <c r="D10" s="167"/>
      <c r="E10" s="191" t="s">
        <v>131</v>
      </c>
      <c r="F10" s="192"/>
      <c r="G10" s="193"/>
      <c r="H10" s="194">
        <v>1125000</v>
      </c>
      <c r="I10" s="194"/>
      <c r="J10" s="194"/>
      <c r="K10" s="195"/>
      <c r="L10" s="193">
        <v>375000</v>
      </c>
      <c r="M10" s="195">
        <f>SUM(F10:L10)</f>
        <v>1500000</v>
      </c>
      <c r="N10" s="46" t="s">
        <v>526</v>
      </c>
      <c r="X10" s="135"/>
    </row>
    <row r="11" spans="1:14" s="46" customFormat="1" ht="81" customHeight="1">
      <c r="A11" s="158"/>
      <c r="B11" s="166"/>
      <c r="C11" s="1150">
        <v>2</v>
      </c>
      <c r="D11" s="196"/>
      <c r="E11" s="191" t="s">
        <v>132</v>
      </c>
      <c r="F11" s="197"/>
      <c r="G11" s="198"/>
      <c r="H11" s="199">
        <v>2362500</v>
      </c>
      <c r="I11" s="199"/>
      <c r="J11" s="199"/>
      <c r="K11" s="200"/>
      <c r="L11" s="201">
        <v>787500</v>
      </c>
      <c r="M11" s="195">
        <f aca="true" t="shared" si="5" ref="M11:M39">SUM(F11:L11)</f>
        <v>3150000</v>
      </c>
      <c r="N11" s="46" t="s">
        <v>526</v>
      </c>
    </row>
    <row r="12" spans="1:14" s="46" customFormat="1" ht="63.75" customHeight="1">
      <c r="A12" s="158"/>
      <c r="B12" s="166"/>
      <c r="C12" s="1150">
        <v>3</v>
      </c>
      <c r="D12" s="196"/>
      <c r="E12" s="191" t="s">
        <v>133</v>
      </c>
      <c r="F12" s="197"/>
      <c r="G12" s="198"/>
      <c r="H12" s="202">
        <v>1125000</v>
      </c>
      <c r="I12" s="202"/>
      <c r="J12" s="202"/>
      <c r="K12" s="200"/>
      <c r="L12" s="203">
        <v>375000</v>
      </c>
      <c r="M12" s="195">
        <f t="shared" si="5"/>
        <v>1500000</v>
      </c>
      <c r="N12" s="46" t="s">
        <v>526</v>
      </c>
    </row>
    <row r="13" spans="1:14" s="46" customFormat="1" ht="62.25" customHeight="1">
      <c r="A13" s="158"/>
      <c r="B13" s="166"/>
      <c r="C13" s="1150">
        <v>4</v>
      </c>
      <c r="D13" s="196"/>
      <c r="E13" s="191" t="s">
        <v>1019</v>
      </c>
      <c r="F13" s="197"/>
      <c r="G13" s="198"/>
      <c r="H13" s="202">
        <v>975000</v>
      </c>
      <c r="I13" s="202"/>
      <c r="J13" s="202"/>
      <c r="K13" s="200"/>
      <c r="L13" s="203">
        <v>325000</v>
      </c>
      <c r="M13" s="195">
        <f t="shared" si="5"/>
        <v>1300000</v>
      </c>
      <c r="N13" s="46" t="s">
        <v>526</v>
      </c>
    </row>
    <row r="14" spans="1:14" s="46" customFormat="1" ht="58.5" customHeight="1">
      <c r="A14" s="158"/>
      <c r="B14" s="166"/>
      <c r="C14" s="1150">
        <v>5</v>
      </c>
      <c r="D14" s="196"/>
      <c r="E14" s="191" t="s">
        <v>134</v>
      </c>
      <c r="F14" s="204"/>
      <c r="G14" s="205"/>
      <c r="H14" s="185">
        <v>952250</v>
      </c>
      <c r="I14" s="185"/>
      <c r="J14" s="185"/>
      <c r="K14" s="187"/>
      <c r="L14" s="186">
        <v>512750</v>
      </c>
      <c r="M14" s="195">
        <f t="shared" si="5"/>
        <v>1465000</v>
      </c>
      <c r="N14" s="46" t="s">
        <v>526</v>
      </c>
    </row>
    <row r="15" spans="1:14" s="46" customFormat="1" ht="67.5" customHeight="1">
      <c r="A15" s="158"/>
      <c r="B15" s="166"/>
      <c r="C15" s="1150">
        <v>6</v>
      </c>
      <c r="D15" s="206"/>
      <c r="E15" s="191" t="s">
        <v>135</v>
      </c>
      <c r="F15" s="197"/>
      <c r="G15" s="198"/>
      <c r="H15" s="202">
        <v>250000</v>
      </c>
      <c r="I15" s="202"/>
      <c r="J15" s="202"/>
      <c r="K15" s="200"/>
      <c r="L15" s="203">
        <v>150000</v>
      </c>
      <c r="M15" s="200">
        <f t="shared" si="5"/>
        <v>400000</v>
      </c>
      <c r="N15" s="46" t="s">
        <v>526</v>
      </c>
    </row>
    <row r="16" spans="1:14" s="46" customFormat="1" ht="87" customHeight="1">
      <c r="A16" s="207"/>
      <c r="B16" s="208"/>
      <c r="C16" s="1150">
        <v>7</v>
      </c>
      <c r="D16" s="209"/>
      <c r="E16" s="191" t="s">
        <v>1020</v>
      </c>
      <c r="F16" s="210"/>
      <c r="G16" s="211"/>
      <c r="H16" s="212"/>
      <c r="I16" s="212"/>
      <c r="J16" s="212"/>
      <c r="K16" s="213"/>
      <c r="L16" s="203">
        <v>300000</v>
      </c>
      <c r="M16" s="200">
        <f t="shared" si="5"/>
        <v>300000</v>
      </c>
      <c r="N16" s="46" t="s">
        <v>526</v>
      </c>
    </row>
    <row r="17" spans="1:14" s="46" customFormat="1" ht="55.5" customHeight="1">
      <c r="A17" s="207"/>
      <c r="B17" s="208"/>
      <c r="C17" s="1150">
        <v>8</v>
      </c>
      <c r="D17" s="214"/>
      <c r="E17" s="215" t="s">
        <v>136</v>
      </c>
      <c r="F17" s="216"/>
      <c r="G17" s="217"/>
      <c r="H17" s="218"/>
      <c r="I17" s="218"/>
      <c r="J17" s="218"/>
      <c r="K17" s="219"/>
      <c r="L17" s="186">
        <v>300000</v>
      </c>
      <c r="M17" s="187">
        <f t="shared" si="5"/>
        <v>300000</v>
      </c>
      <c r="N17" s="46" t="s">
        <v>526</v>
      </c>
    </row>
    <row r="18" spans="1:14" s="28" customFormat="1" ht="61.5" customHeight="1">
      <c r="A18" s="220"/>
      <c r="B18" s="221"/>
      <c r="C18" s="1153">
        <v>9</v>
      </c>
      <c r="D18" s="222"/>
      <c r="E18" s="223" t="s">
        <v>760</v>
      </c>
      <c r="F18" s="224"/>
      <c r="G18" s="225"/>
      <c r="H18" s="226"/>
      <c r="I18" s="226"/>
      <c r="J18" s="226"/>
      <c r="K18" s="226"/>
      <c r="L18" s="227">
        <v>285000</v>
      </c>
      <c r="M18" s="228">
        <f t="shared" si="5"/>
        <v>285000</v>
      </c>
      <c r="N18" s="28" t="s">
        <v>526</v>
      </c>
    </row>
    <row r="19" spans="1:14" s="28" customFormat="1" ht="60.75" customHeight="1">
      <c r="A19" s="220"/>
      <c r="B19" s="221"/>
      <c r="C19" s="1153">
        <v>10</v>
      </c>
      <c r="D19" s="222"/>
      <c r="E19" s="223" t="s">
        <v>761</v>
      </c>
      <c r="F19" s="224"/>
      <c r="G19" s="225"/>
      <c r="H19" s="226"/>
      <c r="I19" s="226"/>
      <c r="J19" s="226"/>
      <c r="K19" s="226"/>
      <c r="L19" s="227">
        <v>240000</v>
      </c>
      <c r="M19" s="228">
        <f t="shared" si="5"/>
        <v>240000</v>
      </c>
      <c r="N19" s="28" t="s">
        <v>526</v>
      </c>
    </row>
    <row r="20" spans="1:14" s="28" customFormat="1" ht="61.5" customHeight="1">
      <c r="A20" s="220"/>
      <c r="B20" s="221"/>
      <c r="C20" s="1153">
        <v>11</v>
      </c>
      <c r="D20" s="222"/>
      <c r="E20" s="223" t="s">
        <v>767</v>
      </c>
      <c r="F20" s="224"/>
      <c r="G20" s="225"/>
      <c r="H20" s="226"/>
      <c r="I20" s="226"/>
      <c r="J20" s="226"/>
      <c r="K20" s="226"/>
      <c r="L20" s="227">
        <v>150000</v>
      </c>
      <c r="M20" s="228">
        <f t="shared" si="5"/>
        <v>150000</v>
      </c>
      <c r="N20" s="28" t="s">
        <v>526</v>
      </c>
    </row>
    <row r="21" spans="1:14" s="28" customFormat="1" ht="60.75" customHeight="1">
      <c r="A21" s="220"/>
      <c r="B21" s="221"/>
      <c r="C21" s="1153">
        <v>12</v>
      </c>
      <c r="D21" s="222"/>
      <c r="E21" s="223" t="s">
        <v>762</v>
      </c>
      <c r="F21" s="224"/>
      <c r="G21" s="225"/>
      <c r="H21" s="226"/>
      <c r="I21" s="226"/>
      <c r="J21" s="226"/>
      <c r="K21" s="226"/>
      <c r="L21" s="227">
        <v>200000</v>
      </c>
      <c r="M21" s="228">
        <f t="shared" si="5"/>
        <v>200000</v>
      </c>
      <c r="N21" s="28" t="s">
        <v>526</v>
      </c>
    </row>
    <row r="22" spans="1:14" s="28" customFormat="1" ht="106.5" customHeight="1">
      <c r="A22" s="220"/>
      <c r="B22" s="221"/>
      <c r="C22" s="1153">
        <v>13</v>
      </c>
      <c r="D22" s="222"/>
      <c r="E22" s="223" t="s">
        <v>768</v>
      </c>
      <c r="F22" s="224"/>
      <c r="G22" s="225"/>
      <c r="H22" s="226"/>
      <c r="I22" s="226"/>
      <c r="J22" s="226"/>
      <c r="K22" s="226"/>
      <c r="L22" s="227">
        <v>50000</v>
      </c>
      <c r="M22" s="228">
        <f t="shared" si="5"/>
        <v>50000</v>
      </c>
      <c r="N22" s="28" t="s">
        <v>526</v>
      </c>
    </row>
    <row r="23" spans="1:14" s="28" customFormat="1" ht="62.25" customHeight="1">
      <c r="A23" s="220"/>
      <c r="B23" s="221"/>
      <c r="C23" s="1153">
        <v>14</v>
      </c>
      <c r="D23" s="222"/>
      <c r="E23" s="223" t="s">
        <v>45</v>
      </c>
      <c r="F23" s="224"/>
      <c r="G23" s="225"/>
      <c r="H23" s="226"/>
      <c r="I23" s="226"/>
      <c r="J23" s="226"/>
      <c r="K23" s="226"/>
      <c r="L23" s="227">
        <v>25000</v>
      </c>
      <c r="M23" s="228">
        <f t="shared" si="5"/>
        <v>25000</v>
      </c>
      <c r="N23" s="28" t="s">
        <v>526</v>
      </c>
    </row>
    <row r="24" spans="1:14" s="28" customFormat="1" ht="83.25" customHeight="1">
      <c r="A24" s="220"/>
      <c r="B24" s="221"/>
      <c r="C24" s="1153">
        <v>15</v>
      </c>
      <c r="D24" s="222"/>
      <c r="E24" s="223" t="s">
        <v>46</v>
      </c>
      <c r="F24" s="224"/>
      <c r="G24" s="225"/>
      <c r="H24" s="226"/>
      <c r="I24" s="226"/>
      <c r="J24" s="226"/>
      <c r="K24" s="226"/>
      <c r="L24" s="227">
        <v>100000</v>
      </c>
      <c r="M24" s="228">
        <f t="shared" si="5"/>
        <v>100000</v>
      </c>
      <c r="N24" s="28" t="s">
        <v>526</v>
      </c>
    </row>
    <row r="25" spans="1:14" s="28" customFormat="1" ht="55.5" customHeight="1">
      <c r="A25" s="220"/>
      <c r="B25" s="221"/>
      <c r="C25" s="1153">
        <v>16</v>
      </c>
      <c r="D25" s="222"/>
      <c r="E25" s="223" t="s">
        <v>55</v>
      </c>
      <c r="F25" s="224"/>
      <c r="G25" s="225"/>
      <c r="H25" s="226"/>
      <c r="I25" s="226"/>
      <c r="J25" s="226"/>
      <c r="K25" s="226"/>
      <c r="L25" s="227">
        <v>15000</v>
      </c>
      <c r="M25" s="228">
        <f t="shared" si="5"/>
        <v>15000</v>
      </c>
      <c r="N25" s="28" t="s">
        <v>526</v>
      </c>
    </row>
    <row r="26" spans="1:14" s="28" customFormat="1" ht="33" customHeight="1">
      <c r="A26" s="220"/>
      <c r="B26" s="221"/>
      <c r="C26" s="1153">
        <v>17</v>
      </c>
      <c r="D26" s="222"/>
      <c r="E26" s="223" t="s">
        <v>745</v>
      </c>
      <c r="F26" s="224"/>
      <c r="G26" s="225"/>
      <c r="H26" s="226"/>
      <c r="I26" s="226"/>
      <c r="J26" s="226"/>
      <c r="K26" s="226"/>
      <c r="L26" s="227">
        <v>6000</v>
      </c>
      <c r="M26" s="228">
        <f t="shared" si="5"/>
        <v>6000</v>
      </c>
      <c r="N26" s="28" t="s">
        <v>526</v>
      </c>
    </row>
    <row r="27" spans="1:14" s="28" customFormat="1" ht="81.75" customHeight="1">
      <c r="A27" s="220"/>
      <c r="B27" s="221"/>
      <c r="C27" s="1153">
        <v>18</v>
      </c>
      <c r="D27" s="222"/>
      <c r="E27" s="223" t="s">
        <v>56</v>
      </c>
      <c r="F27" s="224"/>
      <c r="G27" s="225"/>
      <c r="H27" s="226"/>
      <c r="I27" s="226"/>
      <c r="J27" s="226"/>
      <c r="K27" s="226"/>
      <c r="L27" s="227">
        <v>100000</v>
      </c>
      <c r="M27" s="228">
        <f t="shared" si="5"/>
        <v>100000</v>
      </c>
      <c r="N27" s="28" t="s">
        <v>526</v>
      </c>
    </row>
    <row r="28" spans="1:14" s="28" customFormat="1" ht="57" customHeight="1">
      <c r="A28" s="220"/>
      <c r="B28" s="221"/>
      <c r="C28" s="1153">
        <v>19</v>
      </c>
      <c r="D28" s="222"/>
      <c r="E28" s="223" t="s">
        <v>57</v>
      </c>
      <c r="F28" s="224"/>
      <c r="G28" s="225"/>
      <c r="H28" s="226"/>
      <c r="I28" s="226"/>
      <c r="J28" s="226"/>
      <c r="K28" s="226"/>
      <c r="L28" s="227">
        <v>500000</v>
      </c>
      <c r="M28" s="228">
        <f t="shared" si="5"/>
        <v>500000</v>
      </c>
      <c r="N28" s="28" t="s">
        <v>526</v>
      </c>
    </row>
    <row r="29" spans="1:14" s="28" customFormat="1" ht="35.25" customHeight="1">
      <c r="A29" s="220"/>
      <c r="B29" s="221"/>
      <c r="C29" s="1153">
        <v>20</v>
      </c>
      <c r="D29" s="222"/>
      <c r="E29" s="223" t="s">
        <v>58</v>
      </c>
      <c r="F29" s="224"/>
      <c r="G29" s="225"/>
      <c r="H29" s="226"/>
      <c r="I29" s="226"/>
      <c r="J29" s="226"/>
      <c r="K29" s="226"/>
      <c r="L29" s="227">
        <v>2000000</v>
      </c>
      <c r="M29" s="228">
        <f t="shared" si="5"/>
        <v>2000000</v>
      </c>
      <c r="N29" s="28" t="s">
        <v>526</v>
      </c>
    </row>
    <row r="30" spans="1:14" s="28" customFormat="1" ht="43.5" customHeight="1">
      <c r="A30" s="220"/>
      <c r="B30" s="221"/>
      <c r="C30" s="1153">
        <v>21</v>
      </c>
      <c r="D30" s="222"/>
      <c r="E30" s="223" t="s">
        <v>403</v>
      </c>
      <c r="F30" s="224"/>
      <c r="G30" s="225"/>
      <c r="H30" s="226"/>
      <c r="I30" s="226"/>
      <c r="J30" s="226"/>
      <c r="K30" s="226"/>
      <c r="L30" s="227">
        <v>30000</v>
      </c>
      <c r="M30" s="228">
        <f t="shared" si="5"/>
        <v>30000</v>
      </c>
      <c r="N30" s="28" t="s">
        <v>526</v>
      </c>
    </row>
    <row r="31" spans="1:14" s="28" customFormat="1" ht="85.5" customHeight="1">
      <c r="A31" s="220"/>
      <c r="B31" s="221"/>
      <c r="C31" s="1153">
        <v>22</v>
      </c>
      <c r="D31" s="222"/>
      <c r="E31" s="223" t="s">
        <v>404</v>
      </c>
      <c r="F31" s="224"/>
      <c r="G31" s="225"/>
      <c r="H31" s="226"/>
      <c r="I31" s="226"/>
      <c r="J31" s="226"/>
      <c r="K31" s="226"/>
      <c r="L31" s="227">
        <v>15000</v>
      </c>
      <c r="M31" s="228">
        <f t="shared" si="5"/>
        <v>15000</v>
      </c>
      <c r="N31" s="28" t="s">
        <v>526</v>
      </c>
    </row>
    <row r="32" spans="1:14" s="28" customFormat="1" ht="57.75" customHeight="1">
      <c r="A32" s="220"/>
      <c r="B32" s="221"/>
      <c r="C32" s="1153">
        <v>23</v>
      </c>
      <c r="D32" s="222"/>
      <c r="E32" s="223" t="s">
        <v>419</v>
      </c>
      <c r="F32" s="224"/>
      <c r="G32" s="225"/>
      <c r="H32" s="226"/>
      <c r="I32" s="226"/>
      <c r="J32" s="226"/>
      <c r="K32" s="226"/>
      <c r="L32" s="227">
        <v>30000</v>
      </c>
      <c r="M32" s="228">
        <f t="shared" si="5"/>
        <v>30000</v>
      </c>
      <c r="N32" s="28" t="s">
        <v>526</v>
      </c>
    </row>
    <row r="33" spans="1:14" s="28" customFormat="1" ht="63.75" customHeight="1">
      <c r="A33" s="220"/>
      <c r="B33" s="221"/>
      <c r="C33" s="1153">
        <v>24</v>
      </c>
      <c r="D33" s="222"/>
      <c r="E33" s="223" t="s">
        <v>420</v>
      </c>
      <c r="F33" s="224"/>
      <c r="G33" s="225"/>
      <c r="H33" s="226"/>
      <c r="I33" s="226"/>
      <c r="J33" s="226"/>
      <c r="K33" s="226"/>
      <c r="L33" s="227">
        <v>40000</v>
      </c>
      <c r="M33" s="228">
        <f t="shared" si="5"/>
        <v>40000</v>
      </c>
      <c r="N33" s="28" t="s">
        <v>526</v>
      </c>
    </row>
    <row r="34" spans="1:14" s="28" customFormat="1" ht="52.5" customHeight="1">
      <c r="A34" s="220"/>
      <c r="B34" s="221"/>
      <c r="C34" s="1153">
        <v>25</v>
      </c>
      <c r="D34" s="222"/>
      <c r="E34" s="223" t="s">
        <v>421</v>
      </c>
      <c r="F34" s="224"/>
      <c r="G34" s="225"/>
      <c r="H34" s="226"/>
      <c r="I34" s="226"/>
      <c r="J34" s="226"/>
      <c r="K34" s="226"/>
      <c r="L34" s="227">
        <v>20000</v>
      </c>
      <c r="M34" s="228">
        <f t="shared" si="5"/>
        <v>20000</v>
      </c>
      <c r="N34" s="28" t="s">
        <v>526</v>
      </c>
    </row>
    <row r="35" spans="1:14" s="28" customFormat="1" ht="36.75" customHeight="1">
      <c r="A35" s="220"/>
      <c r="B35" s="221"/>
      <c r="C35" s="1153">
        <v>26</v>
      </c>
      <c r="D35" s="222"/>
      <c r="E35" s="223" t="s">
        <v>422</v>
      </c>
      <c r="F35" s="224"/>
      <c r="G35" s="225"/>
      <c r="H35" s="226"/>
      <c r="I35" s="226"/>
      <c r="J35" s="226"/>
      <c r="K35" s="226"/>
      <c r="L35" s="227">
        <v>35000</v>
      </c>
      <c r="M35" s="228">
        <f t="shared" si="5"/>
        <v>35000</v>
      </c>
      <c r="N35" s="28" t="s">
        <v>526</v>
      </c>
    </row>
    <row r="36" spans="1:14" s="28" customFormat="1" ht="38.25" customHeight="1">
      <c r="A36" s="220"/>
      <c r="B36" s="221"/>
      <c r="C36" s="1153">
        <v>27</v>
      </c>
      <c r="D36" s="222"/>
      <c r="E36" s="223" t="s">
        <v>423</v>
      </c>
      <c r="F36" s="224"/>
      <c r="G36" s="225"/>
      <c r="H36" s="226"/>
      <c r="I36" s="226"/>
      <c r="J36" s="226"/>
      <c r="K36" s="226"/>
      <c r="L36" s="227">
        <v>140000</v>
      </c>
      <c r="M36" s="228">
        <f t="shared" si="5"/>
        <v>140000</v>
      </c>
      <c r="N36" s="28" t="s">
        <v>526</v>
      </c>
    </row>
    <row r="37" spans="1:14" s="28" customFormat="1" ht="37.5" customHeight="1">
      <c r="A37" s="220"/>
      <c r="B37" s="221"/>
      <c r="C37" s="1153">
        <v>28</v>
      </c>
      <c r="D37" s="222"/>
      <c r="E37" s="223" t="s">
        <v>424</v>
      </c>
      <c r="F37" s="224"/>
      <c r="G37" s="225"/>
      <c r="H37" s="226"/>
      <c r="I37" s="226"/>
      <c r="J37" s="226"/>
      <c r="K37" s="226"/>
      <c r="L37" s="227">
        <v>60000</v>
      </c>
      <c r="M37" s="228">
        <f t="shared" si="5"/>
        <v>60000</v>
      </c>
      <c r="N37" s="28" t="s">
        <v>526</v>
      </c>
    </row>
    <row r="38" spans="1:14" s="28" customFormat="1" ht="51.75" customHeight="1">
      <c r="A38" s="220"/>
      <c r="B38" s="221"/>
      <c r="C38" s="1153">
        <v>29</v>
      </c>
      <c r="D38" s="222"/>
      <c r="E38" s="223" t="s">
        <v>765</v>
      </c>
      <c r="F38" s="224"/>
      <c r="G38" s="225"/>
      <c r="H38" s="226"/>
      <c r="I38" s="226"/>
      <c r="J38" s="226"/>
      <c r="K38" s="226"/>
      <c r="L38" s="227">
        <v>100000</v>
      </c>
      <c r="M38" s="228">
        <f t="shared" si="5"/>
        <v>100000</v>
      </c>
      <c r="N38" s="28" t="s">
        <v>526</v>
      </c>
    </row>
    <row r="39" spans="1:14" s="28" customFormat="1" ht="63.75" customHeight="1">
      <c r="A39" s="220"/>
      <c r="B39" s="221"/>
      <c r="C39" s="1154">
        <v>30</v>
      </c>
      <c r="D39" s="229"/>
      <c r="E39" s="230" t="s">
        <v>766</v>
      </c>
      <c r="F39" s="231"/>
      <c r="G39" s="232"/>
      <c r="H39" s="233"/>
      <c r="I39" s="233"/>
      <c r="J39" s="233"/>
      <c r="K39" s="233"/>
      <c r="L39" s="234">
        <v>30000</v>
      </c>
      <c r="M39" s="235">
        <f t="shared" si="5"/>
        <v>30000</v>
      </c>
      <c r="N39" s="28" t="s">
        <v>526</v>
      </c>
    </row>
    <row r="40" spans="1:13" s="46" customFormat="1" ht="48" customHeight="1">
      <c r="A40" s="151">
        <v>3</v>
      </c>
      <c r="B40" s="152">
        <v>700</v>
      </c>
      <c r="C40" s="1148"/>
      <c r="D40" s="154"/>
      <c r="E40" s="155" t="s">
        <v>753</v>
      </c>
      <c r="F40" s="156">
        <f>F41+F72</f>
        <v>0</v>
      </c>
      <c r="G40" s="188">
        <f aca="true" t="shared" si="6" ref="G40:M40">G41+G72</f>
        <v>0</v>
      </c>
      <c r="H40" s="188">
        <f t="shared" si="6"/>
        <v>0</v>
      </c>
      <c r="I40" s="188">
        <f t="shared" si="6"/>
        <v>0</v>
      </c>
      <c r="J40" s="188">
        <f t="shared" si="6"/>
        <v>0</v>
      </c>
      <c r="K40" s="188">
        <f t="shared" si="6"/>
        <v>0</v>
      </c>
      <c r="L40" s="188">
        <f t="shared" si="6"/>
        <v>2295000</v>
      </c>
      <c r="M40" s="157">
        <f t="shared" si="6"/>
        <v>2295000</v>
      </c>
    </row>
    <row r="41" spans="1:13" s="38" customFormat="1" ht="45" customHeight="1">
      <c r="A41" s="236"/>
      <c r="B41" s="237">
        <v>70005</v>
      </c>
      <c r="C41" s="1155"/>
      <c r="D41" s="238"/>
      <c r="E41" s="239" t="s">
        <v>754</v>
      </c>
      <c r="F41" s="240">
        <f>SUM(F42:F71)</f>
        <v>0</v>
      </c>
      <c r="G41" s="241">
        <f aca="true" t="shared" si="7" ref="G41:M41">SUM(G42:G71)</f>
        <v>0</v>
      </c>
      <c r="H41" s="241">
        <f t="shared" si="7"/>
        <v>0</v>
      </c>
      <c r="I41" s="241">
        <f t="shared" si="7"/>
        <v>0</v>
      </c>
      <c r="J41" s="241">
        <f t="shared" si="7"/>
        <v>0</v>
      </c>
      <c r="K41" s="241">
        <f t="shared" si="7"/>
        <v>0</v>
      </c>
      <c r="L41" s="241">
        <f t="shared" si="7"/>
        <v>923000</v>
      </c>
      <c r="M41" s="241">
        <f t="shared" si="7"/>
        <v>923000</v>
      </c>
    </row>
    <row r="42" spans="1:14" s="41" customFormat="1" ht="106.5" customHeight="1">
      <c r="A42" s="242"/>
      <c r="B42" s="243"/>
      <c r="C42" s="1156">
        <v>1</v>
      </c>
      <c r="D42" s="244"/>
      <c r="E42" s="245" t="s">
        <v>801</v>
      </c>
      <c r="F42" s="246"/>
      <c r="G42" s="247"/>
      <c r="H42" s="246"/>
      <c r="I42" s="246"/>
      <c r="J42" s="246"/>
      <c r="K42" s="246"/>
      <c r="L42" s="248">
        <v>6000</v>
      </c>
      <c r="M42" s="248">
        <f>SUM(F42:L42)</f>
        <v>6000</v>
      </c>
      <c r="N42" s="41" t="s">
        <v>526</v>
      </c>
    </row>
    <row r="43" spans="1:14" s="41" customFormat="1" ht="52.5" customHeight="1">
      <c r="A43" s="249"/>
      <c r="B43" s="243"/>
      <c r="C43" s="1154">
        <v>2</v>
      </c>
      <c r="D43" s="250"/>
      <c r="E43" s="251" t="s">
        <v>425</v>
      </c>
      <c r="F43" s="252"/>
      <c r="G43" s="253"/>
      <c r="H43" s="252"/>
      <c r="I43" s="252"/>
      <c r="J43" s="252"/>
      <c r="K43" s="252"/>
      <c r="L43" s="254">
        <v>97000</v>
      </c>
      <c r="M43" s="254">
        <f>SUM(F43:L43)</f>
        <v>97000</v>
      </c>
      <c r="N43" s="41" t="s">
        <v>526</v>
      </c>
    </row>
    <row r="44" spans="1:13" s="39" customFormat="1" ht="18.75" customHeight="1">
      <c r="A44" s="255"/>
      <c r="B44" s="256"/>
      <c r="C44" s="1157"/>
      <c r="D44" s="258"/>
      <c r="E44" s="259" t="s">
        <v>706</v>
      </c>
      <c r="F44" s="260"/>
      <c r="G44" s="261"/>
      <c r="H44" s="260"/>
      <c r="I44" s="260"/>
      <c r="J44" s="260"/>
      <c r="K44" s="260"/>
      <c r="L44" s="262"/>
      <c r="M44" s="262"/>
    </row>
    <row r="45" spans="1:13" s="39" customFormat="1" ht="46.5">
      <c r="A45" s="255"/>
      <c r="B45" s="256"/>
      <c r="C45" s="1157"/>
      <c r="D45" s="263" t="s">
        <v>705</v>
      </c>
      <c r="E45" s="264" t="s">
        <v>802</v>
      </c>
      <c r="F45" s="260"/>
      <c r="G45" s="261"/>
      <c r="H45" s="260"/>
      <c r="I45" s="260"/>
      <c r="J45" s="260"/>
      <c r="K45" s="260"/>
      <c r="L45" s="262"/>
      <c r="M45" s="262"/>
    </row>
    <row r="46" spans="1:13" s="39" customFormat="1" ht="56.25" customHeight="1">
      <c r="A46" s="255"/>
      <c r="B46" s="256"/>
      <c r="C46" s="1157"/>
      <c r="D46" s="263" t="s">
        <v>705</v>
      </c>
      <c r="E46" s="264" t="s">
        <v>803</v>
      </c>
      <c r="F46" s="260"/>
      <c r="G46" s="261"/>
      <c r="H46" s="260"/>
      <c r="I46" s="260"/>
      <c r="J46" s="260"/>
      <c r="K46" s="260"/>
      <c r="L46" s="262"/>
      <c r="M46" s="262"/>
    </row>
    <row r="47" spans="1:13" s="39" customFormat="1" ht="79.5" customHeight="1">
      <c r="A47" s="255"/>
      <c r="B47" s="256"/>
      <c r="C47" s="1157"/>
      <c r="D47" s="263" t="s">
        <v>705</v>
      </c>
      <c r="E47" s="265" t="s">
        <v>804</v>
      </c>
      <c r="F47" s="260"/>
      <c r="G47" s="261"/>
      <c r="H47" s="260"/>
      <c r="I47" s="260"/>
      <c r="J47" s="260"/>
      <c r="K47" s="260"/>
      <c r="L47" s="262"/>
      <c r="M47" s="262"/>
    </row>
    <row r="48" spans="1:13" s="39" customFormat="1" ht="34.5" customHeight="1">
      <c r="A48" s="255"/>
      <c r="B48" s="256"/>
      <c r="C48" s="1156"/>
      <c r="D48" s="266" t="s">
        <v>705</v>
      </c>
      <c r="E48" s="267" t="s">
        <v>805</v>
      </c>
      <c r="F48" s="268"/>
      <c r="G48" s="269"/>
      <c r="H48" s="268"/>
      <c r="I48" s="268"/>
      <c r="J48" s="268"/>
      <c r="K48" s="268"/>
      <c r="L48" s="270"/>
      <c r="M48" s="270"/>
    </row>
    <row r="49" spans="1:14" s="42" customFormat="1" ht="34.5" customHeight="1">
      <c r="A49" s="271"/>
      <c r="B49" s="272"/>
      <c r="C49" s="1154">
        <v>3</v>
      </c>
      <c r="D49" s="273"/>
      <c r="E49" s="251" t="s">
        <v>806</v>
      </c>
      <c r="F49" s="274"/>
      <c r="G49" s="275"/>
      <c r="H49" s="274"/>
      <c r="I49" s="274"/>
      <c r="J49" s="274"/>
      <c r="K49" s="274"/>
      <c r="L49" s="254">
        <v>6000</v>
      </c>
      <c r="M49" s="254">
        <f>SUM(F49:L49)</f>
        <v>6000</v>
      </c>
      <c r="N49" s="42" t="s">
        <v>526</v>
      </c>
    </row>
    <row r="50" spans="1:13" s="39" customFormat="1" ht="73.5" customHeight="1">
      <c r="A50" s="255"/>
      <c r="B50" s="256"/>
      <c r="C50" s="1156"/>
      <c r="D50" s="266" t="s">
        <v>705</v>
      </c>
      <c r="E50" s="276" t="s">
        <v>807</v>
      </c>
      <c r="F50" s="268"/>
      <c r="G50" s="269"/>
      <c r="H50" s="268"/>
      <c r="I50" s="268"/>
      <c r="J50" s="268"/>
      <c r="K50" s="268"/>
      <c r="L50" s="270"/>
      <c r="M50" s="270"/>
    </row>
    <row r="51" spans="1:14" s="42" customFormat="1" ht="29.25" customHeight="1">
      <c r="A51" s="271"/>
      <c r="B51" s="272"/>
      <c r="C51" s="1154">
        <v>4</v>
      </c>
      <c r="D51" s="273"/>
      <c r="E51" s="251" t="s">
        <v>1021</v>
      </c>
      <c r="F51" s="274"/>
      <c r="G51" s="275"/>
      <c r="H51" s="274"/>
      <c r="I51" s="274"/>
      <c r="J51" s="274"/>
      <c r="K51" s="274"/>
      <c r="L51" s="254">
        <v>107000</v>
      </c>
      <c r="M51" s="254">
        <f>SUM(F51:L51)</f>
        <v>107000</v>
      </c>
      <c r="N51" s="42" t="s">
        <v>526</v>
      </c>
    </row>
    <row r="52" spans="1:13" s="39" customFormat="1" ht="36" customHeight="1">
      <c r="A52" s="255"/>
      <c r="B52" s="256"/>
      <c r="C52" s="1157"/>
      <c r="D52" s="263" t="s">
        <v>705</v>
      </c>
      <c r="E52" s="264" t="s">
        <v>808</v>
      </c>
      <c r="F52" s="260"/>
      <c r="G52" s="261"/>
      <c r="H52" s="260"/>
      <c r="I52" s="260"/>
      <c r="J52" s="260"/>
      <c r="K52" s="260"/>
      <c r="L52" s="262"/>
      <c r="M52" s="262"/>
    </row>
    <row r="53" spans="1:13" s="39" customFormat="1" ht="35.25" customHeight="1">
      <c r="A53" s="255"/>
      <c r="B53" s="256"/>
      <c r="C53" s="1157"/>
      <c r="D53" s="263" t="s">
        <v>705</v>
      </c>
      <c r="E53" s="264" t="s">
        <v>809</v>
      </c>
      <c r="F53" s="260"/>
      <c r="G53" s="261"/>
      <c r="H53" s="260"/>
      <c r="I53" s="260"/>
      <c r="J53" s="260"/>
      <c r="K53" s="260"/>
      <c r="L53" s="262"/>
      <c r="M53" s="262"/>
    </row>
    <row r="54" spans="1:13" s="39" customFormat="1" ht="53.25" customHeight="1">
      <c r="A54" s="255"/>
      <c r="B54" s="256"/>
      <c r="C54" s="1157"/>
      <c r="D54" s="263" t="s">
        <v>705</v>
      </c>
      <c r="E54" s="264" t="s">
        <v>810</v>
      </c>
      <c r="F54" s="260"/>
      <c r="G54" s="261"/>
      <c r="H54" s="260"/>
      <c r="I54" s="260"/>
      <c r="J54" s="260"/>
      <c r="K54" s="260"/>
      <c r="L54" s="262"/>
      <c r="M54" s="262"/>
    </row>
    <row r="55" spans="1:13" s="39" customFormat="1" ht="57" customHeight="1">
      <c r="A55" s="255"/>
      <c r="B55" s="256"/>
      <c r="C55" s="1156"/>
      <c r="D55" s="266" t="s">
        <v>705</v>
      </c>
      <c r="E55" s="276" t="s">
        <v>811</v>
      </c>
      <c r="F55" s="268"/>
      <c r="G55" s="269"/>
      <c r="H55" s="268"/>
      <c r="I55" s="268"/>
      <c r="J55" s="268"/>
      <c r="K55" s="268"/>
      <c r="L55" s="270"/>
      <c r="M55" s="270"/>
    </row>
    <row r="56" spans="1:14" s="42" customFormat="1" ht="24.75" customHeight="1">
      <c r="A56" s="271"/>
      <c r="B56" s="272"/>
      <c r="C56" s="1154">
        <v>5</v>
      </c>
      <c r="D56" s="273"/>
      <c r="E56" s="277" t="s">
        <v>812</v>
      </c>
      <c r="F56" s="274"/>
      <c r="G56" s="275"/>
      <c r="H56" s="274"/>
      <c r="I56" s="274"/>
      <c r="J56" s="274"/>
      <c r="K56" s="274"/>
      <c r="L56" s="254">
        <v>5500</v>
      </c>
      <c r="M56" s="254">
        <f>L56</f>
        <v>5500</v>
      </c>
      <c r="N56" s="42" t="s">
        <v>526</v>
      </c>
    </row>
    <row r="57" spans="1:13" s="39" customFormat="1" ht="27.75" customHeight="1">
      <c r="A57" s="255"/>
      <c r="B57" s="278"/>
      <c r="C57" s="1157"/>
      <c r="D57" s="279" t="s">
        <v>705</v>
      </c>
      <c r="E57" s="280" t="s">
        <v>813</v>
      </c>
      <c r="F57" s="281"/>
      <c r="G57" s="282"/>
      <c r="H57" s="281"/>
      <c r="I57" s="281"/>
      <c r="J57" s="281"/>
      <c r="K57" s="281"/>
      <c r="L57" s="283"/>
      <c r="M57" s="262"/>
    </row>
    <row r="58" spans="1:13" s="40" customFormat="1" ht="27.75" customHeight="1">
      <c r="A58" s="255"/>
      <c r="B58" s="278"/>
      <c r="C58" s="1156"/>
      <c r="D58" s="284" t="s">
        <v>705</v>
      </c>
      <c r="E58" s="285" t="s">
        <v>814</v>
      </c>
      <c r="F58" s="286"/>
      <c r="G58" s="287"/>
      <c r="H58" s="286"/>
      <c r="I58" s="286"/>
      <c r="J58" s="286"/>
      <c r="K58" s="286"/>
      <c r="L58" s="288"/>
      <c r="M58" s="270"/>
    </row>
    <row r="59" spans="1:14" s="44" customFormat="1" ht="27.75" customHeight="1">
      <c r="A59" s="249"/>
      <c r="B59" s="243"/>
      <c r="C59" s="1154">
        <v>6</v>
      </c>
      <c r="D59" s="273"/>
      <c r="E59" s="277" t="s">
        <v>815</v>
      </c>
      <c r="F59" s="289"/>
      <c r="G59" s="290"/>
      <c r="H59" s="289"/>
      <c r="I59" s="289"/>
      <c r="J59" s="289"/>
      <c r="K59" s="289"/>
      <c r="L59" s="291">
        <v>5000</v>
      </c>
      <c r="M59" s="254">
        <f>SUM(F59:L59)</f>
        <v>5000</v>
      </c>
      <c r="N59" s="44" t="s">
        <v>526</v>
      </c>
    </row>
    <row r="60" spans="1:13" s="40" customFormat="1" ht="27.75" customHeight="1">
      <c r="A60" s="255"/>
      <c r="B60" s="278"/>
      <c r="C60" s="1156"/>
      <c r="D60" s="284" t="s">
        <v>705</v>
      </c>
      <c r="E60" s="285" t="s">
        <v>816</v>
      </c>
      <c r="F60" s="286"/>
      <c r="G60" s="287"/>
      <c r="H60" s="286"/>
      <c r="I60" s="286"/>
      <c r="J60" s="286"/>
      <c r="K60" s="286"/>
      <c r="L60" s="288"/>
      <c r="M60" s="270"/>
    </row>
    <row r="61" spans="1:14" s="41" customFormat="1" ht="31.5" customHeight="1">
      <c r="A61" s="249"/>
      <c r="B61" s="243"/>
      <c r="C61" s="1154">
        <v>7</v>
      </c>
      <c r="D61" s="273"/>
      <c r="E61" s="277" t="s">
        <v>817</v>
      </c>
      <c r="F61" s="289"/>
      <c r="G61" s="290"/>
      <c r="H61" s="289"/>
      <c r="I61" s="289"/>
      <c r="J61" s="289"/>
      <c r="K61" s="289"/>
      <c r="L61" s="291">
        <v>17000</v>
      </c>
      <c r="M61" s="254">
        <f>SUM(F61:L61)</f>
        <v>17000</v>
      </c>
      <c r="N61" s="41" t="s">
        <v>526</v>
      </c>
    </row>
    <row r="62" spans="1:13" s="39" customFormat="1" ht="33.75" customHeight="1">
      <c r="A62" s="255"/>
      <c r="B62" s="278"/>
      <c r="C62" s="1157"/>
      <c r="D62" s="279" t="s">
        <v>705</v>
      </c>
      <c r="E62" s="280" t="s">
        <v>818</v>
      </c>
      <c r="F62" s="281"/>
      <c r="G62" s="282"/>
      <c r="H62" s="281"/>
      <c r="I62" s="281"/>
      <c r="J62" s="281"/>
      <c r="K62" s="281"/>
      <c r="L62" s="283"/>
      <c r="M62" s="262"/>
    </row>
    <row r="63" spans="1:13" s="39" customFormat="1" ht="53.25" customHeight="1">
      <c r="A63" s="255"/>
      <c r="B63" s="278"/>
      <c r="C63" s="1157"/>
      <c r="D63" s="279" t="s">
        <v>705</v>
      </c>
      <c r="E63" s="280" t="s">
        <v>819</v>
      </c>
      <c r="F63" s="281"/>
      <c r="G63" s="282"/>
      <c r="H63" s="281"/>
      <c r="I63" s="281"/>
      <c r="J63" s="281"/>
      <c r="K63" s="281"/>
      <c r="L63" s="283"/>
      <c r="M63" s="262"/>
    </row>
    <row r="64" spans="1:13" s="39" customFormat="1" ht="35.25" customHeight="1">
      <c r="A64" s="255"/>
      <c r="B64" s="278"/>
      <c r="C64" s="1156"/>
      <c r="D64" s="284" t="s">
        <v>705</v>
      </c>
      <c r="E64" s="285" t="s">
        <v>820</v>
      </c>
      <c r="F64" s="286"/>
      <c r="G64" s="287"/>
      <c r="H64" s="286"/>
      <c r="I64" s="286"/>
      <c r="J64" s="286"/>
      <c r="K64" s="286"/>
      <c r="L64" s="288"/>
      <c r="M64" s="270"/>
    </row>
    <row r="65" spans="1:14" s="41" customFormat="1" ht="39.75" customHeight="1">
      <c r="A65" s="249"/>
      <c r="B65" s="243"/>
      <c r="C65" s="1154">
        <v>8</v>
      </c>
      <c r="D65" s="273"/>
      <c r="E65" s="277" t="s">
        <v>821</v>
      </c>
      <c r="F65" s="289"/>
      <c r="G65" s="290"/>
      <c r="H65" s="289"/>
      <c r="I65" s="289"/>
      <c r="J65" s="289"/>
      <c r="K65" s="289"/>
      <c r="L65" s="291">
        <f>45000+7500</f>
        <v>52500</v>
      </c>
      <c r="M65" s="254">
        <f>SUM(F65:L65)</f>
        <v>52500</v>
      </c>
      <c r="N65" s="41" t="s">
        <v>526</v>
      </c>
    </row>
    <row r="66" spans="1:13" s="39" customFormat="1" ht="79.5" customHeight="1">
      <c r="A66" s="255"/>
      <c r="B66" s="278"/>
      <c r="C66" s="1157"/>
      <c r="D66" s="279" t="s">
        <v>705</v>
      </c>
      <c r="E66" s="280" t="s">
        <v>822</v>
      </c>
      <c r="F66" s="281"/>
      <c r="G66" s="282"/>
      <c r="H66" s="281"/>
      <c r="I66" s="281"/>
      <c r="J66" s="281"/>
      <c r="K66" s="281"/>
      <c r="L66" s="283"/>
      <c r="M66" s="262"/>
    </row>
    <row r="67" spans="1:13" s="40" customFormat="1" ht="32.25" customHeight="1">
      <c r="A67" s="255"/>
      <c r="B67" s="278"/>
      <c r="C67" s="1156"/>
      <c r="D67" s="284" t="s">
        <v>705</v>
      </c>
      <c r="E67" s="285" t="s">
        <v>676</v>
      </c>
      <c r="F67" s="286"/>
      <c r="G67" s="287"/>
      <c r="H67" s="286"/>
      <c r="I67" s="286"/>
      <c r="J67" s="286"/>
      <c r="K67" s="286"/>
      <c r="L67" s="288"/>
      <c r="M67" s="270"/>
    </row>
    <row r="68" spans="1:14" s="41" customFormat="1" ht="33.75" customHeight="1">
      <c r="A68" s="249"/>
      <c r="B68" s="243"/>
      <c r="C68" s="1154">
        <v>9</v>
      </c>
      <c r="D68" s="273"/>
      <c r="E68" s="292" t="s">
        <v>823</v>
      </c>
      <c r="F68" s="289"/>
      <c r="G68" s="290"/>
      <c r="H68" s="289"/>
      <c r="I68" s="289"/>
      <c r="J68" s="289"/>
      <c r="K68" s="289"/>
      <c r="L68" s="291">
        <v>7000</v>
      </c>
      <c r="M68" s="254">
        <f>SUM(F68:L68)</f>
        <v>7000</v>
      </c>
      <c r="N68" s="41" t="s">
        <v>526</v>
      </c>
    </row>
    <row r="69" spans="1:13" s="39" customFormat="1" ht="81.75" customHeight="1">
      <c r="A69" s="255"/>
      <c r="B69" s="278"/>
      <c r="C69" s="1156"/>
      <c r="D69" s="284" t="s">
        <v>705</v>
      </c>
      <c r="E69" s="285" t="s">
        <v>824</v>
      </c>
      <c r="F69" s="286"/>
      <c r="G69" s="287"/>
      <c r="H69" s="286"/>
      <c r="I69" s="286"/>
      <c r="J69" s="286"/>
      <c r="K69" s="286"/>
      <c r="L69" s="288"/>
      <c r="M69" s="270"/>
    </row>
    <row r="70" spans="1:14" s="41" customFormat="1" ht="59.25" customHeight="1">
      <c r="A70" s="249"/>
      <c r="B70" s="243"/>
      <c r="C70" s="1153">
        <v>10</v>
      </c>
      <c r="D70" s="293"/>
      <c r="E70" s="294" t="s">
        <v>677</v>
      </c>
      <c r="F70" s="295"/>
      <c r="G70" s="296"/>
      <c r="H70" s="295"/>
      <c r="I70" s="295"/>
      <c r="J70" s="295"/>
      <c r="K70" s="295"/>
      <c r="L70" s="297">
        <v>120000</v>
      </c>
      <c r="M70" s="297">
        <v>120000</v>
      </c>
      <c r="N70" s="41" t="s">
        <v>526</v>
      </c>
    </row>
    <row r="71" spans="1:14" s="41" customFormat="1" ht="31.5" customHeight="1">
      <c r="A71" s="249"/>
      <c r="B71" s="298"/>
      <c r="C71" s="1158">
        <v>11</v>
      </c>
      <c r="D71" s="299"/>
      <c r="E71" s="300" t="s">
        <v>769</v>
      </c>
      <c r="F71" s="301"/>
      <c r="G71" s="302"/>
      <c r="H71" s="301"/>
      <c r="I71" s="301"/>
      <c r="J71" s="301"/>
      <c r="K71" s="301"/>
      <c r="L71" s="303">
        <v>500000</v>
      </c>
      <c r="M71" s="303">
        <f>L71</f>
        <v>500000</v>
      </c>
      <c r="N71" s="41" t="s">
        <v>526</v>
      </c>
    </row>
    <row r="72" spans="1:14" s="111" customFormat="1" ht="45.75" customHeight="1">
      <c r="A72" s="304"/>
      <c r="B72" s="305">
        <v>70095</v>
      </c>
      <c r="C72" s="1149"/>
      <c r="D72" s="160"/>
      <c r="E72" s="161" t="s">
        <v>24</v>
      </c>
      <c r="F72" s="162">
        <f>SUM(F73:F77)</f>
        <v>0</v>
      </c>
      <c r="G72" s="163">
        <f aca="true" t="shared" si="8" ref="G72:M72">SUM(G73:G77)</f>
        <v>0</v>
      </c>
      <c r="H72" s="163">
        <f t="shared" si="8"/>
        <v>0</v>
      </c>
      <c r="I72" s="163">
        <f t="shared" si="8"/>
        <v>0</v>
      </c>
      <c r="J72" s="163">
        <f t="shared" si="8"/>
        <v>0</v>
      </c>
      <c r="K72" s="163">
        <f t="shared" si="8"/>
        <v>0</v>
      </c>
      <c r="L72" s="163">
        <f t="shared" si="8"/>
        <v>1372000</v>
      </c>
      <c r="M72" s="190">
        <f t="shared" si="8"/>
        <v>1372000</v>
      </c>
      <c r="N72" s="110"/>
    </row>
    <row r="73" spans="1:14" s="38" customFormat="1" ht="30" customHeight="1">
      <c r="A73" s="306"/>
      <c r="B73" s="307"/>
      <c r="C73" s="1159">
        <v>1</v>
      </c>
      <c r="D73" s="308"/>
      <c r="E73" s="309" t="s">
        <v>137</v>
      </c>
      <c r="F73" s="310"/>
      <c r="G73" s="311"/>
      <c r="H73" s="312"/>
      <c r="I73" s="312"/>
      <c r="J73" s="312"/>
      <c r="K73" s="313"/>
      <c r="L73" s="314">
        <v>1200000</v>
      </c>
      <c r="M73" s="315">
        <f>SUM(F73:L73)</f>
        <v>1200000</v>
      </c>
      <c r="N73" s="38" t="s">
        <v>526</v>
      </c>
    </row>
    <row r="74" spans="1:14" s="38" customFormat="1" ht="30" customHeight="1">
      <c r="A74" s="257"/>
      <c r="B74" s="316"/>
      <c r="C74" s="1153">
        <v>2</v>
      </c>
      <c r="D74" s="317"/>
      <c r="E74" s="318" t="s">
        <v>678</v>
      </c>
      <c r="F74" s="224"/>
      <c r="G74" s="319"/>
      <c r="H74" s="224"/>
      <c r="I74" s="224"/>
      <c r="J74" s="224"/>
      <c r="K74" s="224"/>
      <c r="L74" s="320">
        <v>2000</v>
      </c>
      <c r="M74" s="320">
        <f>SUM(F74:L74)</f>
        <v>2000</v>
      </c>
      <c r="N74" s="38" t="s">
        <v>526</v>
      </c>
    </row>
    <row r="75" spans="1:14" s="38" customFormat="1" ht="30" customHeight="1">
      <c r="A75" s="257"/>
      <c r="B75" s="316"/>
      <c r="C75" s="1153">
        <v>3</v>
      </c>
      <c r="D75" s="317"/>
      <c r="E75" s="318" t="s">
        <v>825</v>
      </c>
      <c r="F75" s="224"/>
      <c r="G75" s="319"/>
      <c r="H75" s="224"/>
      <c r="I75" s="224"/>
      <c r="J75" s="224"/>
      <c r="K75" s="224"/>
      <c r="L75" s="320">
        <v>20000</v>
      </c>
      <c r="M75" s="320">
        <f>SUM(F75:L75)</f>
        <v>20000</v>
      </c>
      <c r="N75" s="38" t="s">
        <v>526</v>
      </c>
    </row>
    <row r="76" spans="1:14" s="38" customFormat="1" ht="53.25" customHeight="1">
      <c r="A76" s="257"/>
      <c r="B76" s="316"/>
      <c r="C76" s="1153">
        <v>4</v>
      </c>
      <c r="D76" s="317"/>
      <c r="E76" s="318" t="s">
        <v>679</v>
      </c>
      <c r="F76" s="224"/>
      <c r="G76" s="319"/>
      <c r="H76" s="224"/>
      <c r="I76" s="224"/>
      <c r="J76" s="224"/>
      <c r="K76" s="224"/>
      <c r="L76" s="320">
        <v>50000</v>
      </c>
      <c r="M76" s="320">
        <f>SUM(F76:L76)</f>
        <v>50000</v>
      </c>
      <c r="N76" s="38" t="s">
        <v>526</v>
      </c>
    </row>
    <row r="77" spans="1:14" s="38" customFormat="1" ht="81.75" customHeight="1">
      <c r="A77" s="257"/>
      <c r="B77" s="316"/>
      <c r="C77" s="1147">
        <v>5</v>
      </c>
      <c r="D77" s="321"/>
      <c r="E77" s="322" t="s">
        <v>826</v>
      </c>
      <c r="F77" s="323"/>
      <c r="G77" s="324"/>
      <c r="H77" s="323"/>
      <c r="I77" s="323"/>
      <c r="J77" s="323"/>
      <c r="K77" s="323"/>
      <c r="L77" s="325">
        <v>100000</v>
      </c>
      <c r="M77" s="325">
        <f>SUM(F77:L77)</f>
        <v>100000</v>
      </c>
      <c r="N77" s="38" t="s">
        <v>526</v>
      </c>
    </row>
    <row r="78" spans="1:13" s="46" customFormat="1" ht="47.25" customHeight="1">
      <c r="A78" s="151">
        <v>4</v>
      </c>
      <c r="B78" s="152">
        <v>710</v>
      </c>
      <c r="C78" s="1148"/>
      <c r="D78" s="154"/>
      <c r="E78" s="155" t="s">
        <v>680</v>
      </c>
      <c r="F78" s="156">
        <f>F79+F83+F89+F93</f>
        <v>0</v>
      </c>
      <c r="G78" s="188">
        <f aca="true" t="shared" si="9" ref="G78:M78">G79+G83+G89+G93</f>
        <v>0</v>
      </c>
      <c r="H78" s="188">
        <f t="shared" si="9"/>
        <v>0</v>
      </c>
      <c r="I78" s="188">
        <f t="shared" si="9"/>
        <v>0</v>
      </c>
      <c r="J78" s="188">
        <f t="shared" si="9"/>
        <v>0</v>
      </c>
      <c r="K78" s="188">
        <f t="shared" si="9"/>
        <v>0</v>
      </c>
      <c r="L78" s="188">
        <f t="shared" si="9"/>
        <v>1928000</v>
      </c>
      <c r="M78" s="157">
        <f t="shared" si="9"/>
        <v>1928000</v>
      </c>
    </row>
    <row r="79" spans="1:13" s="38" customFormat="1" ht="45" customHeight="1">
      <c r="A79" s="326"/>
      <c r="B79" s="327">
        <v>71004</v>
      </c>
      <c r="C79" s="1160"/>
      <c r="D79" s="328"/>
      <c r="E79" s="329" t="s">
        <v>681</v>
      </c>
      <c r="F79" s="330">
        <f>SUM(F80:F82)</f>
        <v>0</v>
      </c>
      <c r="G79" s="331">
        <f aca="true" t="shared" si="10" ref="G79:M79">SUM(G80:G82)</f>
        <v>0</v>
      </c>
      <c r="H79" s="331">
        <f t="shared" si="10"/>
        <v>0</v>
      </c>
      <c r="I79" s="331">
        <f t="shared" si="10"/>
        <v>0</v>
      </c>
      <c r="J79" s="331">
        <f t="shared" si="10"/>
        <v>0</v>
      </c>
      <c r="K79" s="331">
        <f t="shared" si="10"/>
        <v>0</v>
      </c>
      <c r="L79" s="331">
        <f t="shared" si="10"/>
        <v>190000</v>
      </c>
      <c r="M79" s="331">
        <f t="shared" si="10"/>
        <v>190000</v>
      </c>
    </row>
    <row r="80" spans="1:14" s="38" customFormat="1" ht="62.25" customHeight="1">
      <c r="A80" s="257"/>
      <c r="B80" s="316"/>
      <c r="C80" s="1161">
        <v>1</v>
      </c>
      <c r="D80" s="332"/>
      <c r="E80" s="333" t="s">
        <v>827</v>
      </c>
      <c r="F80" s="334"/>
      <c r="G80" s="335"/>
      <c r="H80" s="334"/>
      <c r="I80" s="334"/>
      <c r="J80" s="334"/>
      <c r="K80" s="334"/>
      <c r="L80" s="336">
        <v>80000</v>
      </c>
      <c r="M80" s="336">
        <f>SUM(F80:L80)</f>
        <v>80000</v>
      </c>
      <c r="N80" s="38" t="s">
        <v>526</v>
      </c>
    </row>
    <row r="81" spans="1:14" s="38" customFormat="1" ht="58.5" customHeight="1">
      <c r="A81" s="257"/>
      <c r="B81" s="316"/>
      <c r="C81" s="1153">
        <v>2</v>
      </c>
      <c r="D81" s="317"/>
      <c r="E81" s="318" t="s">
        <v>683</v>
      </c>
      <c r="F81" s="224"/>
      <c r="G81" s="319"/>
      <c r="H81" s="224"/>
      <c r="I81" s="224"/>
      <c r="J81" s="224"/>
      <c r="K81" s="224"/>
      <c r="L81" s="320">
        <v>60000</v>
      </c>
      <c r="M81" s="320">
        <f>L81</f>
        <v>60000</v>
      </c>
      <c r="N81" s="38" t="s">
        <v>526</v>
      </c>
    </row>
    <row r="82" spans="1:14" s="38" customFormat="1" ht="57" customHeight="1">
      <c r="A82" s="257"/>
      <c r="B82" s="316"/>
      <c r="C82" s="1147">
        <v>3</v>
      </c>
      <c r="D82" s="321"/>
      <c r="E82" s="1247" t="s">
        <v>684</v>
      </c>
      <c r="F82" s="323"/>
      <c r="G82" s="324"/>
      <c r="H82" s="323"/>
      <c r="I82" s="323"/>
      <c r="J82" s="323"/>
      <c r="K82" s="323"/>
      <c r="L82" s="325">
        <v>50000</v>
      </c>
      <c r="M82" s="325">
        <f aca="true" t="shared" si="11" ref="M82:M92">SUM(F82:L82)</f>
        <v>50000</v>
      </c>
      <c r="N82" s="38" t="s">
        <v>526</v>
      </c>
    </row>
    <row r="83" spans="1:13" s="38" customFormat="1" ht="44.25" customHeight="1">
      <c r="A83" s="236"/>
      <c r="B83" s="327">
        <v>71014</v>
      </c>
      <c r="C83" s="1160"/>
      <c r="D83" s="328"/>
      <c r="E83" s="329" t="s">
        <v>685</v>
      </c>
      <c r="F83" s="330">
        <f>SUM(F84:F88)</f>
        <v>0</v>
      </c>
      <c r="G83" s="331">
        <f aca="true" t="shared" si="12" ref="G83:M83">SUM(G84:G88)</f>
        <v>0</v>
      </c>
      <c r="H83" s="331">
        <f t="shared" si="12"/>
        <v>0</v>
      </c>
      <c r="I83" s="331">
        <f t="shared" si="12"/>
        <v>0</v>
      </c>
      <c r="J83" s="331">
        <f t="shared" si="12"/>
        <v>0</v>
      </c>
      <c r="K83" s="331">
        <f t="shared" si="12"/>
        <v>0</v>
      </c>
      <c r="L83" s="331">
        <f t="shared" si="12"/>
        <v>127000</v>
      </c>
      <c r="M83" s="331">
        <f t="shared" si="12"/>
        <v>127000</v>
      </c>
    </row>
    <row r="84" spans="1:14" s="38" customFormat="1" ht="57.75" customHeight="1">
      <c r="A84" s="257"/>
      <c r="B84" s="316"/>
      <c r="C84" s="1162">
        <v>1</v>
      </c>
      <c r="D84" s="337"/>
      <c r="E84" s="338" t="s">
        <v>686</v>
      </c>
      <c r="F84" s="339"/>
      <c r="G84" s="340"/>
      <c r="H84" s="339"/>
      <c r="I84" s="339"/>
      <c r="J84" s="339"/>
      <c r="K84" s="339"/>
      <c r="L84" s="341">
        <v>10000</v>
      </c>
      <c r="M84" s="341">
        <f t="shared" si="11"/>
        <v>10000</v>
      </c>
      <c r="N84" s="38" t="s">
        <v>526</v>
      </c>
    </row>
    <row r="85" spans="1:14" s="43" customFormat="1" ht="76.5" customHeight="1">
      <c r="A85" s="257"/>
      <c r="B85" s="316"/>
      <c r="C85" s="1153">
        <v>2</v>
      </c>
      <c r="D85" s="317"/>
      <c r="E85" s="342" t="s">
        <v>112</v>
      </c>
      <c r="F85" s="224"/>
      <c r="G85" s="319"/>
      <c r="H85" s="224"/>
      <c r="I85" s="224"/>
      <c r="J85" s="224"/>
      <c r="K85" s="224"/>
      <c r="L85" s="320">
        <v>80000</v>
      </c>
      <c r="M85" s="320">
        <f t="shared" si="11"/>
        <v>80000</v>
      </c>
      <c r="N85" s="43" t="s">
        <v>526</v>
      </c>
    </row>
    <row r="86" spans="1:14" s="43" customFormat="1" ht="81.75" customHeight="1">
      <c r="A86" s="257"/>
      <c r="B86" s="316"/>
      <c r="C86" s="1153">
        <v>3</v>
      </c>
      <c r="D86" s="317"/>
      <c r="E86" s="342" t="s">
        <v>113</v>
      </c>
      <c r="F86" s="224"/>
      <c r="G86" s="319"/>
      <c r="H86" s="224"/>
      <c r="I86" s="224"/>
      <c r="J86" s="224"/>
      <c r="K86" s="224"/>
      <c r="L86" s="320">
        <v>15000</v>
      </c>
      <c r="M86" s="320">
        <f t="shared" si="11"/>
        <v>15000</v>
      </c>
      <c r="N86" s="43" t="s">
        <v>526</v>
      </c>
    </row>
    <row r="87" spans="1:14" s="43" customFormat="1" ht="57" customHeight="1">
      <c r="A87" s="257"/>
      <c r="B87" s="316"/>
      <c r="C87" s="1153">
        <v>4</v>
      </c>
      <c r="D87" s="317"/>
      <c r="E87" s="342" t="s">
        <v>687</v>
      </c>
      <c r="F87" s="224"/>
      <c r="G87" s="319"/>
      <c r="H87" s="224"/>
      <c r="I87" s="224"/>
      <c r="J87" s="224"/>
      <c r="K87" s="224"/>
      <c r="L87" s="320">
        <v>10000</v>
      </c>
      <c r="M87" s="320">
        <f t="shared" si="11"/>
        <v>10000</v>
      </c>
      <c r="N87" s="43" t="s">
        <v>526</v>
      </c>
    </row>
    <row r="88" spans="1:14" s="38" customFormat="1" ht="78" customHeight="1">
      <c r="A88" s="257"/>
      <c r="B88" s="316"/>
      <c r="C88" s="1147">
        <v>5</v>
      </c>
      <c r="D88" s="321"/>
      <c r="E88" s="322" t="s">
        <v>114</v>
      </c>
      <c r="F88" s="323"/>
      <c r="G88" s="324"/>
      <c r="H88" s="323"/>
      <c r="I88" s="323"/>
      <c r="J88" s="323"/>
      <c r="K88" s="323"/>
      <c r="L88" s="325">
        <v>12000</v>
      </c>
      <c r="M88" s="325">
        <f t="shared" si="11"/>
        <v>12000</v>
      </c>
      <c r="N88" s="38" t="s">
        <v>526</v>
      </c>
    </row>
    <row r="89" spans="1:13" s="38" customFormat="1" ht="45" customHeight="1">
      <c r="A89" s="236"/>
      <c r="B89" s="327">
        <v>71095</v>
      </c>
      <c r="C89" s="1160"/>
      <c r="D89" s="328"/>
      <c r="E89" s="329" t="s">
        <v>24</v>
      </c>
      <c r="F89" s="330">
        <f>SUM(F90:F92)</f>
        <v>0</v>
      </c>
      <c r="G89" s="331">
        <f aca="true" t="shared" si="13" ref="G89:M89">SUM(G90:G92)</f>
        <v>0</v>
      </c>
      <c r="H89" s="331">
        <f t="shared" si="13"/>
        <v>0</v>
      </c>
      <c r="I89" s="331">
        <f t="shared" si="13"/>
        <v>0</v>
      </c>
      <c r="J89" s="331">
        <f t="shared" si="13"/>
        <v>0</v>
      </c>
      <c r="K89" s="331">
        <f t="shared" si="13"/>
        <v>0</v>
      </c>
      <c r="L89" s="331">
        <f t="shared" si="13"/>
        <v>111000</v>
      </c>
      <c r="M89" s="331">
        <f t="shared" si="13"/>
        <v>111000</v>
      </c>
    </row>
    <row r="90" spans="1:14" s="38" customFormat="1" ht="55.5" customHeight="1">
      <c r="A90" s="257"/>
      <c r="B90" s="316"/>
      <c r="C90" s="1162">
        <v>1</v>
      </c>
      <c r="D90" s="337"/>
      <c r="E90" s="338" t="s">
        <v>34</v>
      </c>
      <c r="F90" s="339"/>
      <c r="G90" s="340"/>
      <c r="H90" s="339"/>
      <c r="I90" s="339"/>
      <c r="J90" s="339"/>
      <c r="K90" s="339"/>
      <c r="L90" s="341">
        <v>75000</v>
      </c>
      <c r="M90" s="341">
        <f t="shared" si="11"/>
        <v>75000</v>
      </c>
      <c r="N90" s="38" t="s">
        <v>526</v>
      </c>
    </row>
    <row r="91" spans="1:14" s="43" customFormat="1" ht="55.5" customHeight="1">
      <c r="A91" s="257"/>
      <c r="B91" s="316"/>
      <c r="C91" s="1153">
        <v>2</v>
      </c>
      <c r="D91" s="317"/>
      <c r="E91" s="342" t="s">
        <v>689</v>
      </c>
      <c r="F91" s="224"/>
      <c r="G91" s="319"/>
      <c r="H91" s="224"/>
      <c r="I91" s="224"/>
      <c r="J91" s="224"/>
      <c r="K91" s="224"/>
      <c r="L91" s="320">
        <v>6000</v>
      </c>
      <c r="M91" s="320">
        <f t="shared" si="11"/>
        <v>6000</v>
      </c>
      <c r="N91" s="43" t="s">
        <v>526</v>
      </c>
    </row>
    <row r="92" spans="1:14" s="38" customFormat="1" ht="58.5" customHeight="1">
      <c r="A92" s="343"/>
      <c r="B92" s="344"/>
      <c r="C92" s="1163">
        <v>3</v>
      </c>
      <c r="D92" s="345"/>
      <c r="E92" s="346" t="s">
        <v>770</v>
      </c>
      <c r="F92" s="347"/>
      <c r="G92" s="348"/>
      <c r="H92" s="349"/>
      <c r="I92" s="349"/>
      <c r="J92" s="349"/>
      <c r="K92" s="349"/>
      <c r="L92" s="350">
        <v>30000</v>
      </c>
      <c r="M92" s="351">
        <f t="shared" si="11"/>
        <v>30000</v>
      </c>
      <c r="N92" s="38" t="s">
        <v>526</v>
      </c>
    </row>
    <row r="93" spans="1:13" s="46" customFormat="1" ht="45" customHeight="1">
      <c r="A93" s="158"/>
      <c r="B93" s="189">
        <v>71035</v>
      </c>
      <c r="C93" s="1149"/>
      <c r="D93" s="160"/>
      <c r="E93" s="161" t="s">
        <v>688</v>
      </c>
      <c r="F93" s="162">
        <f>F94</f>
        <v>0</v>
      </c>
      <c r="G93" s="163">
        <f aca="true" t="shared" si="14" ref="G93:M93">G94</f>
        <v>0</v>
      </c>
      <c r="H93" s="163">
        <f t="shared" si="14"/>
        <v>0</v>
      </c>
      <c r="I93" s="163">
        <f t="shared" si="14"/>
        <v>0</v>
      </c>
      <c r="J93" s="163">
        <f t="shared" si="14"/>
        <v>0</v>
      </c>
      <c r="K93" s="163">
        <f t="shared" si="14"/>
        <v>0</v>
      </c>
      <c r="L93" s="163">
        <f t="shared" si="14"/>
        <v>1500000</v>
      </c>
      <c r="M93" s="190">
        <f t="shared" si="14"/>
        <v>1500000</v>
      </c>
    </row>
    <row r="94" spans="1:14" s="46" customFormat="1" ht="43.5" customHeight="1">
      <c r="A94" s="306"/>
      <c r="B94" s="307"/>
      <c r="C94" s="1164">
        <v>1</v>
      </c>
      <c r="D94" s="352"/>
      <c r="E94" s="309" t="s">
        <v>138</v>
      </c>
      <c r="F94" s="310"/>
      <c r="G94" s="311"/>
      <c r="H94" s="312"/>
      <c r="I94" s="312"/>
      <c r="J94" s="312"/>
      <c r="K94" s="313"/>
      <c r="L94" s="314">
        <v>1500000</v>
      </c>
      <c r="M94" s="315">
        <f>SUM(F94:L94)</f>
        <v>1500000</v>
      </c>
      <c r="N94" s="46" t="s">
        <v>526</v>
      </c>
    </row>
    <row r="95" spans="1:13" s="46" customFormat="1" ht="47.25" customHeight="1">
      <c r="A95" s="151">
        <v>5</v>
      </c>
      <c r="B95" s="152">
        <v>750</v>
      </c>
      <c r="C95" s="1148"/>
      <c r="D95" s="154"/>
      <c r="E95" s="155" t="s">
        <v>690</v>
      </c>
      <c r="F95" s="156">
        <f aca="true" t="shared" si="15" ref="F95:M95">F103+F105+F124+F201+F206+F96</f>
        <v>0</v>
      </c>
      <c r="G95" s="156">
        <f t="shared" si="15"/>
        <v>0</v>
      </c>
      <c r="H95" s="156">
        <f t="shared" si="15"/>
        <v>0</v>
      </c>
      <c r="I95" s="156">
        <f t="shared" si="15"/>
        <v>0</v>
      </c>
      <c r="J95" s="156">
        <f t="shared" si="15"/>
        <v>34000</v>
      </c>
      <c r="K95" s="156">
        <f t="shared" si="15"/>
        <v>0</v>
      </c>
      <c r="L95" s="156">
        <f t="shared" si="15"/>
        <v>4933135</v>
      </c>
      <c r="M95" s="156">
        <f t="shared" si="15"/>
        <v>4967135</v>
      </c>
    </row>
    <row r="96" spans="1:14" s="2" customFormat="1" ht="39.75" customHeight="1">
      <c r="A96" s="173"/>
      <c r="B96" s="353" t="s">
        <v>691</v>
      </c>
      <c r="C96" s="1165"/>
      <c r="D96" s="160"/>
      <c r="E96" s="161" t="s">
        <v>692</v>
      </c>
      <c r="F96" s="354"/>
      <c r="G96" s="355"/>
      <c r="H96" s="164"/>
      <c r="I96" s="356"/>
      <c r="J96" s="356"/>
      <c r="K96" s="163"/>
      <c r="L96" s="164"/>
      <c r="M96" s="165">
        <f aca="true" t="shared" si="16" ref="M96:M102">H96</f>
        <v>0</v>
      </c>
      <c r="N96" s="2" t="s">
        <v>526</v>
      </c>
    </row>
    <row r="97" spans="1:14" s="3" customFormat="1" ht="61.5" customHeight="1">
      <c r="A97" s="173"/>
      <c r="B97" s="357"/>
      <c r="C97" s="1166" t="s">
        <v>682</v>
      </c>
      <c r="D97" s="358"/>
      <c r="E97" s="359" t="s">
        <v>693</v>
      </c>
      <c r="F97" s="360"/>
      <c r="G97" s="361"/>
      <c r="H97" s="362"/>
      <c r="I97" s="360"/>
      <c r="J97" s="360"/>
      <c r="K97" s="186"/>
      <c r="L97" s="185"/>
      <c r="M97" s="363">
        <f t="shared" si="16"/>
        <v>0</v>
      </c>
      <c r="N97" s="3" t="s">
        <v>526</v>
      </c>
    </row>
    <row r="98" spans="1:14" s="4" customFormat="1" ht="31.5" customHeight="1">
      <c r="A98" s="364"/>
      <c r="B98" s="365"/>
      <c r="C98" s="1167"/>
      <c r="D98" s="366"/>
      <c r="E98" s="367" t="s">
        <v>694</v>
      </c>
      <c r="F98" s="368"/>
      <c r="G98" s="369"/>
      <c r="H98" s="370"/>
      <c r="I98" s="368"/>
      <c r="J98" s="368"/>
      <c r="K98" s="371"/>
      <c r="L98" s="370"/>
      <c r="M98" s="372">
        <f t="shared" si="16"/>
        <v>0</v>
      </c>
      <c r="N98" s="4" t="s">
        <v>526</v>
      </c>
    </row>
    <row r="99" spans="1:14" s="2" customFormat="1" ht="33.75" customHeight="1">
      <c r="A99" s="364"/>
      <c r="B99" s="365"/>
      <c r="C99" s="1167"/>
      <c r="D99" s="366"/>
      <c r="E99" s="367" t="s">
        <v>695</v>
      </c>
      <c r="F99" s="368"/>
      <c r="G99" s="369"/>
      <c r="H99" s="370"/>
      <c r="I99" s="368"/>
      <c r="J99" s="368"/>
      <c r="K99" s="371"/>
      <c r="L99" s="370"/>
      <c r="M99" s="372">
        <f t="shared" si="16"/>
        <v>0</v>
      </c>
      <c r="N99" s="2" t="s">
        <v>526</v>
      </c>
    </row>
    <row r="100" spans="1:14" s="5" customFormat="1" ht="29.25" customHeight="1">
      <c r="A100" s="364"/>
      <c r="B100" s="365"/>
      <c r="C100" s="1167"/>
      <c r="D100" s="366"/>
      <c r="E100" s="367" t="s">
        <v>696</v>
      </c>
      <c r="F100" s="368"/>
      <c r="G100" s="369"/>
      <c r="H100" s="370"/>
      <c r="I100" s="368"/>
      <c r="J100" s="368"/>
      <c r="K100" s="371"/>
      <c r="L100" s="370"/>
      <c r="M100" s="372">
        <f t="shared" si="16"/>
        <v>0</v>
      </c>
      <c r="N100" s="5" t="s">
        <v>526</v>
      </c>
    </row>
    <row r="101" spans="1:14" s="5" customFormat="1" ht="28.5" customHeight="1">
      <c r="A101" s="364"/>
      <c r="B101" s="365"/>
      <c r="C101" s="1168"/>
      <c r="D101" s="373"/>
      <c r="E101" s="374" t="s">
        <v>697</v>
      </c>
      <c r="F101" s="375"/>
      <c r="G101" s="376"/>
      <c r="H101" s="377"/>
      <c r="I101" s="375"/>
      <c r="J101" s="375"/>
      <c r="K101" s="378"/>
      <c r="L101" s="377"/>
      <c r="M101" s="379">
        <f t="shared" si="16"/>
        <v>0</v>
      </c>
      <c r="N101" s="5" t="s">
        <v>526</v>
      </c>
    </row>
    <row r="102" spans="1:14" s="5" customFormat="1" ht="30" customHeight="1">
      <c r="A102" s="364"/>
      <c r="B102" s="365"/>
      <c r="C102" s="1169"/>
      <c r="D102" s="380"/>
      <c r="E102" s="381" t="s">
        <v>698</v>
      </c>
      <c r="F102" s="382"/>
      <c r="G102" s="383"/>
      <c r="H102" s="384"/>
      <c r="I102" s="382"/>
      <c r="J102" s="382"/>
      <c r="K102" s="385"/>
      <c r="L102" s="384"/>
      <c r="M102" s="386">
        <f t="shared" si="16"/>
        <v>0</v>
      </c>
      <c r="N102" s="5" t="s">
        <v>526</v>
      </c>
    </row>
    <row r="103" spans="1:13" s="38" customFormat="1" ht="45.75" customHeight="1">
      <c r="A103" s="257"/>
      <c r="B103" s="387">
        <v>75020</v>
      </c>
      <c r="C103" s="1170"/>
      <c r="D103" s="388"/>
      <c r="E103" s="389" t="s">
        <v>740</v>
      </c>
      <c r="F103" s="390">
        <f>SUM(F104)</f>
        <v>0</v>
      </c>
      <c r="G103" s="391">
        <f aca="true" t="shared" si="17" ref="G103:L103">SUM(G104)</f>
        <v>0</v>
      </c>
      <c r="H103" s="392">
        <f t="shared" si="17"/>
        <v>0</v>
      </c>
      <c r="I103" s="392">
        <f t="shared" si="17"/>
        <v>0</v>
      </c>
      <c r="J103" s="392">
        <f t="shared" si="17"/>
        <v>34000</v>
      </c>
      <c r="K103" s="392">
        <f t="shared" si="17"/>
        <v>0</v>
      </c>
      <c r="L103" s="392">
        <f t="shared" si="17"/>
        <v>0</v>
      </c>
      <c r="M103" s="393">
        <f>SUM(F103:L103)</f>
        <v>34000</v>
      </c>
    </row>
    <row r="104" spans="1:14" s="46" customFormat="1" ht="137.25" customHeight="1">
      <c r="A104" s="257"/>
      <c r="B104" s="394"/>
      <c r="C104" s="1157">
        <v>1</v>
      </c>
      <c r="D104" s="181"/>
      <c r="E104" s="395" t="s">
        <v>886</v>
      </c>
      <c r="F104" s="396"/>
      <c r="G104" s="397"/>
      <c r="H104" s="398"/>
      <c r="I104" s="398"/>
      <c r="J104" s="398">
        <v>34000</v>
      </c>
      <c r="K104" s="398"/>
      <c r="L104" s="398">
        <v>0</v>
      </c>
      <c r="M104" s="399">
        <f>SUM(F104:L104)</f>
        <v>34000</v>
      </c>
      <c r="N104" s="46" t="s">
        <v>526</v>
      </c>
    </row>
    <row r="105" spans="1:13" s="38" customFormat="1" ht="47.25" customHeight="1">
      <c r="A105" s="400"/>
      <c r="B105" s="401">
        <v>75022</v>
      </c>
      <c r="C105" s="1171"/>
      <c r="D105" s="402"/>
      <c r="E105" s="403" t="s">
        <v>699</v>
      </c>
      <c r="F105" s="390">
        <f>SUM(F106:F123)</f>
        <v>0</v>
      </c>
      <c r="G105" s="391">
        <f aca="true" t="shared" si="18" ref="G105:M105">SUM(G106:G123)</f>
        <v>0</v>
      </c>
      <c r="H105" s="392">
        <f t="shared" si="18"/>
        <v>0</v>
      </c>
      <c r="I105" s="392">
        <f t="shared" si="18"/>
        <v>0</v>
      </c>
      <c r="J105" s="392">
        <f t="shared" si="18"/>
        <v>0</v>
      </c>
      <c r="K105" s="392">
        <f t="shared" si="18"/>
        <v>0</v>
      </c>
      <c r="L105" s="392">
        <f t="shared" si="18"/>
        <v>260500</v>
      </c>
      <c r="M105" s="393">
        <f t="shared" si="18"/>
        <v>260500</v>
      </c>
    </row>
    <row r="106" spans="1:14" s="61" customFormat="1" ht="33.75" customHeight="1">
      <c r="A106" s="242"/>
      <c r="B106" s="243"/>
      <c r="C106" s="1157">
        <v>1</v>
      </c>
      <c r="D106" s="404"/>
      <c r="E106" s="1029" t="s">
        <v>27</v>
      </c>
      <c r="F106" s="405"/>
      <c r="G106" s="406"/>
      <c r="H106" s="407"/>
      <c r="I106" s="407"/>
      <c r="J106" s="407"/>
      <c r="K106" s="407"/>
      <c r="L106" s="408">
        <v>22500</v>
      </c>
      <c r="M106" s="409">
        <f>L106</f>
        <v>22500</v>
      </c>
      <c r="N106" s="112" t="s">
        <v>526</v>
      </c>
    </row>
    <row r="107" spans="1:13" s="47" customFormat="1" ht="67.5" customHeight="1">
      <c r="A107" s="400"/>
      <c r="B107" s="256"/>
      <c r="C107" s="1157"/>
      <c r="D107" s="181"/>
      <c r="E107" s="259" t="s">
        <v>28</v>
      </c>
      <c r="F107" s="260"/>
      <c r="G107" s="410"/>
      <c r="H107" s="411"/>
      <c r="I107" s="411"/>
      <c r="J107" s="411"/>
      <c r="K107" s="411"/>
      <c r="L107" s="412"/>
      <c r="M107" s="413"/>
    </row>
    <row r="108" spans="1:13" s="45" customFormat="1" ht="51.75" customHeight="1">
      <c r="A108" s="414"/>
      <c r="B108" s="256"/>
      <c r="C108" s="1157"/>
      <c r="D108" s="258"/>
      <c r="E108" s="259" t="s">
        <v>29</v>
      </c>
      <c r="F108" s="260"/>
      <c r="G108" s="410"/>
      <c r="H108" s="411"/>
      <c r="I108" s="411"/>
      <c r="J108" s="411"/>
      <c r="K108" s="411"/>
      <c r="L108" s="412"/>
      <c r="M108" s="415"/>
    </row>
    <row r="109" spans="1:14" s="61" customFormat="1" ht="39.75" customHeight="1">
      <c r="A109" s="242"/>
      <c r="B109" s="243"/>
      <c r="C109" s="1154">
        <v>2</v>
      </c>
      <c r="D109" s="250"/>
      <c r="E109" s="563" t="s">
        <v>30</v>
      </c>
      <c r="F109" s="252"/>
      <c r="G109" s="416"/>
      <c r="H109" s="417"/>
      <c r="I109" s="417"/>
      <c r="J109" s="417"/>
      <c r="K109" s="417"/>
      <c r="L109" s="418">
        <v>185000</v>
      </c>
      <c r="M109" s="419">
        <f>L109</f>
        <v>185000</v>
      </c>
      <c r="N109" s="61" t="s">
        <v>526</v>
      </c>
    </row>
    <row r="110" spans="1:13" s="47" customFormat="1" ht="39.75" customHeight="1">
      <c r="A110" s="420"/>
      <c r="B110" s="256"/>
      <c r="C110" s="1157"/>
      <c r="D110" s="421" t="s">
        <v>705</v>
      </c>
      <c r="E110" s="182" t="s">
        <v>31</v>
      </c>
      <c r="F110" s="260"/>
      <c r="G110" s="410"/>
      <c r="H110" s="411"/>
      <c r="I110" s="411"/>
      <c r="J110" s="411"/>
      <c r="K110" s="411"/>
      <c r="L110" s="412"/>
      <c r="M110" s="413"/>
    </row>
    <row r="111" spans="1:13" s="45" customFormat="1" ht="54.75" customHeight="1">
      <c r="A111" s="400"/>
      <c r="B111" s="256"/>
      <c r="C111" s="1157"/>
      <c r="D111" s="258"/>
      <c r="E111" s="259" t="s">
        <v>644</v>
      </c>
      <c r="F111" s="260"/>
      <c r="G111" s="410"/>
      <c r="H111" s="411"/>
      <c r="I111" s="411"/>
      <c r="J111" s="411"/>
      <c r="K111" s="411"/>
      <c r="L111" s="412"/>
      <c r="M111" s="415"/>
    </row>
    <row r="112" spans="1:13" s="45" customFormat="1" ht="59.25" customHeight="1">
      <c r="A112" s="400"/>
      <c r="B112" s="256"/>
      <c r="C112" s="1157"/>
      <c r="D112" s="263" t="s">
        <v>705</v>
      </c>
      <c r="E112" s="182" t="s">
        <v>645</v>
      </c>
      <c r="F112" s="260"/>
      <c r="G112" s="410"/>
      <c r="H112" s="411"/>
      <c r="I112" s="411"/>
      <c r="J112" s="411"/>
      <c r="K112" s="411"/>
      <c r="L112" s="412"/>
      <c r="M112" s="415"/>
    </row>
    <row r="113" spans="1:13" s="45" customFormat="1" ht="54" customHeight="1">
      <c r="A113" s="400"/>
      <c r="B113" s="256"/>
      <c r="C113" s="1157"/>
      <c r="D113" s="258"/>
      <c r="E113" s="259" t="s">
        <v>646</v>
      </c>
      <c r="F113" s="260"/>
      <c r="G113" s="410"/>
      <c r="H113" s="411"/>
      <c r="I113" s="411"/>
      <c r="J113" s="411"/>
      <c r="K113" s="411"/>
      <c r="L113" s="412"/>
      <c r="M113" s="415"/>
    </row>
    <row r="114" spans="1:13" s="45" customFormat="1" ht="39.75" customHeight="1">
      <c r="A114" s="400"/>
      <c r="B114" s="256"/>
      <c r="C114" s="1157"/>
      <c r="D114" s="263" t="s">
        <v>705</v>
      </c>
      <c r="E114" s="422" t="s">
        <v>647</v>
      </c>
      <c r="F114" s="260"/>
      <c r="G114" s="410"/>
      <c r="H114" s="411"/>
      <c r="I114" s="411"/>
      <c r="J114" s="411"/>
      <c r="K114" s="411"/>
      <c r="L114" s="412"/>
      <c r="M114" s="415"/>
    </row>
    <row r="115" spans="1:13" s="45" customFormat="1" ht="50.25" customHeight="1">
      <c r="A115" s="400"/>
      <c r="B115" s="256"/>
      <c r="C115" s="1157"/>
      <c r="D115" s="258"/>
      <c r="E115" s="423" t="s">
        <v>730</v>
      </c>
      <c r="F115" s="260"/>
      <c r="G115" s="410"/>
      <c r="H115" s="411"/>
      <c r="I115" s="411"/>
      <c r="J115" s="411"/>
      <c r="K115" s="411"/>
      <c r="L115" s="412"/>
      <c r="M115" s="415"/>
    </row>
    <row r="116" spans="1:13" s="45" customFormat="1" ht="39.75" customHeight="1">
      <c r="A116" s="400"/>
      <c r="B116" s="256"/>
      <c r="C116" s="1157"/>
      <c r="D116" s="263" t="s">
        <v>705</v>
      </c>
      <c r="E116" s="422" t="s">
        <v>731</v>
      </c>
      <c r="F116" s="260"/>
      <c r="G116" s="410"/>
      <c r="H116" s="411"/>
      <c r="I116" s="411"/>
      <c r="J116" s="411"/>
      <c r="K116" s="411"/>
      <c r="L116" s="412"/>
      <c r="M116" s="415"/>
    </row>
    <row r="117" spans="1:13" s="45" customFormat="1" ht="54" customHeight="1">
      <c r="A117" s="400"/>
      <c r="B117" s="256"/>
      <c r="C117" s="1156"/>
      <c r="D117" s="424"/>
      <c r="E117" s="425" t="s">
        <v>732</v>
      </c>
      <c r="F117" s="268"/>
      <c r="G117" s="426"/>
      <c r="H117" s="427"/>
      <c r="I117" s="427"/>
      <c r="J117" s="427"/>
      <c r="K117" s="427"/>
      <c r="L117" s="428"/>
      <c r="M117" s="429"/>
    </row>
    <row r="118" spans="1:14" s="113" customFormat="1" ht="53.25" customHeight="1">
      <c r="A118" s="242"/>
      <c r="B118" s="272"/>
      <c r="C118" s="1157">
        <v>3</v>
      </c>
      <c r="D118" s="430"/>
      <c r="E118" s="422" t="s">
        <v>733</v>
      </c>
      <c r="F118" s="432"/>
      <c r="G118" s="433"/>
      <c r="H118" s="434"/>
      <c r="I118" s="434"/>
      <c r="J118" s="434"/>
      <c r="K118" s="434"/>
      <c r="L118" s="435">
        <v>14000</v>
      </c>
      <c r="M118" s="436">
        <f>L118</f>
        <v>14000</v>
      </c>
      <c r="N118" s="113" t="s">
        <v>526</v>
      </c>
    </row>
    <row r="119" spans="1:13" s="45" customFormat="1" ht="39.75" customHeight="1">
      <c r="A119" s="400"/>
      <c r="B119" s="256"/>
      <c r="C119" s="1157"/>
      <c r="D119" s="437"/>
      <c r="E119" s="423" t="s">
        <v>734</v>
      </c>
      <c r="F119" s="260"/>
      <c r="G119" s="410"/>
      <c r="H119" s="411"/>
      <c r="I119" s="411"/>
      <c r="J119" s="411"/>
      <c r="K119" s="411"/>
      <c r="L119" s="438"/>
      <c r="M119" s="413"/>
    </row>
    <row r="120" spans="1:14" s="113" customFormat="1" ht="58.5" customHeight="1">
      <c r="A120" s="242"/>
      <c r="B120" s="272"/>
      <c r="C120" s="1153">
        <v>4</v>
      </c>
      <c r="D120" s="439"/>
      <c r="E120" s="223" t="s">
        <v>735</v>
      </c>
      <c r="F120" s="440"/>
      <c r="G120" s="441"/>
      <c r="H120" s="442"/>
      <c r="I120" s="442"/>
      <c r="J120" s="442"/>
      <c r="K120" s="442"/>
      <c r="L120" s="443">
        <v>9000</v>
      </c>
      <c r="M120" s="444">
        <f>L120</f>
        <v>9000</v>
      </c>
      <c r="N120" s="113" t="s">
        <v>526</v>
      </c>
    </row>
    <row r="121" spans="1:14" s="113" customFormat="1" ht="39.75" customHeight="1">
      <c r="A121" s="242"/>
      <c r="B121" s="272"/>
      <c r="C121" s="1153">
        <v>5</v>
      </c>
      <c r="D121" s="439"/>
      <c r="E121" s="223" t="s">
        <v>736</v>
      </c>
      <c r="F121" s="440"/>
      <c r="G121" s="441"/>
      <c r="H121" s="442"/>
      <c r="I121" s="442"/>
      <c r="J121" s="442"/>
      <c r="K121" s="442"/>
      <c r="L121" s="443">
        <v>10000</v>
      </c>
      <c r="M121" s="444">
        <f>L121</f>
        <v>10000</v>
      </c>
      <c r="N121" s="113" t="s">
        <v>526</v>
      </c>
    </row>
    <row r="122" spans="1:14" s="113" customFormat="1" ht="39.75" customHeight="1">
      <c r="A122" s="242"/>
      <c r="B122" s="272"/>
      <c r="C122" s="1153">
        <v>6</v>
      </c>
      <c r="D122" s="439"/>
      <c r="E122" s="223" t="s">
        <v>737</v>
      </c>
      <c r="F122" s="440"/>
      <c r="G122" s="441"/>
      <c r="H122" s="442"/>
      <c r="I122" s="442"/>
      <c r="J122" s="442"/>
      <c r="K122" s="442"/>
      <c r="L122" s="443">
        <v>5000</v>
      </c>
      <c r="M122" s="444">
        <f>L122</f>
        <v>5000</v>
      </c>
      <c r="N122" s="113" t="s">
        <v>526</v>
      </c>
    </row>
    <row r="123" spans="1:14" s="113" customFormat="1" ht="39.75" customHeight="1">
      <c r="A123" s="445"/>
      <c r="B123" s="446"/>
      <c r="C123" s="1163">
        <v>7</v>
      </c>
      <c r="D123" s="447"/>
      <c r="E123" s="1248" t="s">
        <v>738</v>
      </c>
      <c r="F123" s="449"/>
      <c r="G123" s="450"/>
      <c r="H123" s="451"/>
      <c r="I123" s="451"/>
      <c r="J123" s="451"/>
      <c r="K123" s="451"/>
      <c r="L123" s="452">
        <v>15000</v>
      </c>
      <c r="M123" s="453">
        <f>L123</f>
        <v>15000</v>
      </c>
      <c r="N123" s="113" t="s">
        <v>526</v>
      </c>
    </row>
    <row r="124" spans="1:13" s="46" customFormat="1" ht="45" customHeight="1">
      <c r="A124" s="304"/>
      <c r="B124" s="454">
        <v>75023</v>
      </c>
      <c r="C124" s="1171"/>
      <c r="D124" s="455"/>
      <c r="E124" s="403" t="s">
        <v>115</v>
      </c>
      <c r="F124" s="456">
        <f aca="true" t="shared" si="19" ref="F124:M124">F126+F136</f>
        <v>0</v>
      </c>
      <c r="G124" s="456">
        <f t="shared" si="19"/>
        <v>0</v>
      </c>
      <c r="H124" s="456">
        <f t="shared" si="19"/>
        <v>0</v>
      </c>
      <c r="I124" s="456">
        <f t="shared" si="19"/>
        <v>0</v>
      </c>
      <c r="J124" s="456">
        <f t="shared" si="19"/>
        <v>0</v>
      </c>
      <c r="K124" s="456">
        <f t="shared" si="19"/>
        <v>0</v>
      </c>
      <c r="L124" s="456">
        <f t="shared" si="19"/>
        <v>4518135</v>
      </c>
      <c r="M124" s="456">
        <f t="shared" si="19"/>
        <v>4518135</v>
      </c>
    </row>
    <row r="125" spans="1:13" s="66" customFormat="1" ht="56.25" customHeight="1">
      <c r="A125" s="306"/>
      <c r="B125" s="457"/>
      <c r="C125" s="1172"/>
      <c r="D125" s="458"/>
      <c r="E125" s="459" t="s">
        <v>5</v>
      </c>
      <c r="F125" s="460"/>
      <c r="G125" s="311"/>
      <c r="H125" s="311"/>
      <c r="I125" s="311"/>
      <c r="J125" s="311"/>
      <c r="K125" s="311"/>
      <c r="L125" s="311"/>
      <c r="M125" s="461"/>
    </row>
    <row r="126" spans="1:13" s="66" customFormat="1" ht="66.75" customHeight="1">
      <c r="A126" s="306"/>
      <c r="B126" s="462"/>
      <c r="C126" s="1172" t="s">
        <v>602</v>
      </c>
      <c r="D126" s="458"/>
      <c r="E126" s="463" t="s">
        <v>6</v>
      </c>
      <c r="F126" s="310">
        <f>F131+F132+F133+F134+F135</f>
        <v>0</v>
      </c>
      <c r="G126" s="310">
        <f aca="true" t="shared" si="20" ref="G126:M126">G131+G132+G133+G134+G135</f>
        <v>0</v>
      </c>
      <c r="H126" s="310">
        <f t="shared" si="20"/>
        <v>0</v>
      </c>
      <c r="I126" s="310">
        <f t="shared" si="20"/>
        <v>0</v>
      </c>
      <c r="J126" s="310">
        <f t="shared" si="20"/>
        <v>0</v>
      </c>
      <c r="K126" s="310">
        <f t="shared" si="20"/>
        <v>0</v>
      </c>
      <c r="L126" s="310">
        <f t="shared" si="20"/>
        <v>3265035</v>
      </c>
      <c r="M126" s="310">
        <f t="shared" si="20"/>
        <v>3265035</v>
      </c>
    </row>
    <row r="127" spans="1:13" s="6" customFormat="1" ht="174" customHeight="1">
      <c r="A127" s="464"/>
      <c r="B127" s="465"/>
      <c r="C127" s="1173"/>
      <c r="D127" s="466"/>
      <c r="E127" s="467" t="s">
        <v>509</v>
      </c>
      <c r="F127" s="468"/>
      <c r="G127" s="469"/>
      <c r="H127" s="468"/>
      <c r="I127" s="468"/>
      <c r="J127" s="468"/>
      <c r="K127" s="203"/>
      <c r="L127" s="202"/>
      <c r="M127" s="200"/>
    </row>
    <row r="128" spans="1:13" s="6" customFormat="1" ht="30" customHeight="1">
      <c r="A128" s="464"/>
      <c r="B128" s="465"/>
      <c r="C128" s="1173"/>
      <c r="D128" s="466"/>
      <c r="E128" s="467" t="s">
        <v>107</v>
      </c>
      <c r="F128" s="468"/>
      <c r="G128" s="469"/>
      <c r="H128" s="468"/>
      <c r="I128" s="468"/>
      <c r="J128" s="468"/>
      <c r="K128" s="203"/>
      <c r="L128" s="202"/>
      <c r="M128" s="200"/>
    </row>
    <row r="129" spans="1:13" s="6" customFormat="1" ht="30" customHeight="1">
      <c r="A129" s="464"/>
      <c r="B129" s="465"/>
      <c r="C129" s="1173"/>
      <c r="D129" s="466"/>
      <c r="E129" s="467" t="s">
        <v>108</v>
      </c>
      <c r="F129" s="468"/>
      <c r="G129" s="469"/>
      <c r="H129" s="468"/>
      <c r="I129" s="468"/>
      <c r="J129" s="468"/>
      <c r="K129" s="470"/>
      <c r="L129" s="471"/>
      <c r="M129" s="200"/>
    </row>
    <row r="130" spans="1:13" s="6" customFormat="1" ht="30" customHeight="1">
      <c r="A130" s="464"/>
      <c r="B130" s="465"/>
      <c r="C130" s="1174"/>
      <c r="D130" s="472"/>
      <c r="E130" s="473" t="s">
        <v>109</v>
      </c>
      <c r="F130" s="474"/>
      <c r="G130" s="475"/>
      <c r="H130" s="476"/>
      <c r="I130" s="476"/>
      <c r="J130" s="476"/>
      <c r="K130" s="477"/>
      <c r="L130" s="478"/>
      <c r="M130" s="479"/>
    </row>
    <row r="131" spans="1:14" s="7" customFormat="1" ht="86.25" customHeight="1">
      <c r="A131" s="464"/>
      <c r="B131" s="465"/>
      <c r="C131" s="1174"/>
      <c r="D131" s="472"/>
      <c r="E131" s="480" t="s">
        <v>832</v>
      </c>
      <c r="F131" s="476"/>
      <c r="G131" s="481"/>
      <c r="H131" s="476"/>
      <c r="I131" s="476"/>
      <c r="J131" s="476"/>
      <c r="K131" s="477"/>
      <c r="L131" s="478">
        <v>2509362</v>
      </c>
      <c r="M131" s="482">
        <f>L131</f>
        <v>2509362</v>
      </c>
      <c r="N131" s="7" t="s">
        <v>526</v>
      </c>
    </row>
    <row r="132" spans="1:14" s="7" customFormat="1" ht="105.75" customHeight="1">
      <c r="A132" s="464"/>
      <c r="B132" s="465"/>
      <c r="C132" s="1173"/>
      <c r="D132" s="466"/>
      <c r="E132" s="467" t="s">
        <v>110</v>
      </c>
      <c r="F132" s="468"/>
      <c r="G132" s="469"/>
      <c r="H132" s="468"/>
      <c r="I132" s="468"/>
      <c r="J132" s="468"/>
      <c r="K132" s="470"/>
      <c r="L132" s="471">
        <v>177669</v>
      </c>
      <c r="M132" s="482">
        <f>L132</f>
        <v>177669</v>
      </c>
      <c r="N132" s="7" t="s">
        <v>526</v>
      </c>
    </row>
    <row r="133" spans="1:14" s="6" customFormat="1" ht="99.75" customHeight="1">
      <c r="A133" s="464"/>
      <c r="B133" s="465"/>
      <c r="C133" s="1173"/>
      <c r="D133" s="466"/>
      <c r="E133" s="467" t="s">
        <v>111</v>
      </c>
      <c r="F133" s="468"/>
      <c r="G133" s="469"/>
      <c r="H133" s="468"/>
      <c r="I133" s="468"/>
      <c r="J133" s="468"/>
      <c r="K133" s="470"/>
      <c r="L133" s="471">
        <v>504753</v>
      </c>
      <c r="M133" s="482">
        <f>L133</f>
        <v>504753</v>
      </c>
      <c r="N133" s="6" t="s">
        <v>526</v>
      </c>
    </row>
    <row r="134" spans="1:14" s="6" customFormat="1" ht="114" customHeight="1">
      <c r="A134" s="464"/>
      <c r="B134" s="465"/>
      <c r="C134" s="1173"/>
      <c r="D134" s="466"/>
      <c r="E134" s="467" t="s">
        <v>1185</v>
      </c>
      <c r="F134" s="468"/>
      <c r="G134" s="469"/>
      <c r="H134" s="468"/>
      <c r="I134" s="468"/>
      <c r="J134" s="468"/>
      <c r="K134" s="470"/>
      <c r="L134" s="202">
        <v>58251</v>
      </c>
      <c r="M134" s="482">
        <f>L134</f>
        <v>58251</v>
      </c>
      <c r="N134" s="6" t="s">
        <v>526</v>
      </c>
    </row>
    <row r="135" spans="1:13" s="66" customFormat="1" ht="45" customHeight="1">
      <c r="A135" s="306"/>
      <c r="B135" s="483"/>
      <c r="C135" s="1172"/>
      <c r="D135" s="458"/>
      <c r="E135" s="182" t="s">
        <v>7</v>
      </c>
      <c r="F135" s="484">
        <v>0</v>
      </c>
      <c r="G135" s="314">
        <v>0</v>
      </c>
      <c r="H135" s="314">
        <v>0</v>
      </c>
      <c r="I135" s="314">
        <v>0</v>
      </c>
      <c r="J135" s="314">
        <v>0</v>
      </c>
      <c r="K135" s="314">
        <v>0</v>
      </c>
      <c r="L135" s="314">
        <v>15000</v>
      </c>
      <c r="M135" s="485">
        <f>L135</f>
        <v>15000</v>
      </c>
    </row>
    <row r="136" spans="1:13" s="55" customFormat="1" ht="36.75" customHeight="1">
      <c r="A136" s="249"/>
      <c r="B136" s="486"/>
      <c r="C136" s="1146" t="s">
        <v>121</v>
      </c>
      <c r="D136" s="487"/>
      <c r="E136" s="488" t="s">
        <v>1022</v>
      </c>
      <c r="F136" s="489">
        <f>F137+F157+F169+F183+F184+F188+F194+F195+F196+F197+F198+F199+F200</f>
        <v>0</v>
      </c>
      <c r="G136" s="490">
        <f aca="true" t="shared" si="21" ref="G136:M136">G137+G157+G169+G183+G184+G188+G194+G195+G196+G197+G198+G199+G200</f>
        <v>0</v>
      </c>
      <c r="H136" s="491">
        <f t="shared" si="21"/>
        <v>0</v>
      </c>
      <c r="I136" s="491">
        <f t="shared" si="21"/>
        <v>0</v>
      </c>
      <c r="J136" s="491">
        <f t="shared" si="21"/>
        <v>0</v>
      </c>
      <c r="K136" s="491">
        <f t="shared" si="21"/>
        <v>0</v>
      </c>
      <c r="L136" s="491">
        <f t="shared" si="21"/>
        <v>1253100</v>
      </c>
      <c r="M136" s="492">
        <f t="shared" si="21"/>
        <v>1253100</v>
      </c>
    </row>
    <row r="137" spans="1:14" s="48" customFormat="1" ht="31.5" customHeight="1">
      <c r="A137" s="493"/>
      <c r="B137" s="494"/>
      <c r="C137" s="1175">
        <v>1</v>
      </c>
      <c r="D137" s="495"/>
      <c r="E137" s="496" t="s">
        <v>887</v>
      </c>
      <c r="F137" s="497"/>
      <c r="G137" s="498"/>
      <c r="H137" s="499"/>
      <c r="I137" s="499"/>
      <c r="J137" s="499"/>
      <c r="K137" s="500"/>
      <c r="L137" s="501">
        <v>387100</v>
      </c>
      <c r="M137" s="502">
        <f>SUM(F137:L137)</f>
        <v>387100</v>
      </c>
      <c r="N137" s="48" t="s">
        <v>526</v>
      </c>
    </row>
    <row r="138" spans="1:13" s="56" customFormat="1" ht="23.25">
      <c r="A138" s="503"/>
      <c r="B138" s="494"/>
      <c r="C138" s="1175"/>
      <c r="D138" s="504"/>
      <c r="E138" s="505" t="s">
        <v>706</v>
      </c>
      <c r="F138" s="506"/>
      <c r="G138" s="507"/>
      <c r="H138" s="508"/>
      <c r="I138" s="508"/>
      <c r="J138" s="508"/>
      <c r="K138" s="509"/>
      <c r="L138" s="508"/>
      <c r="M138" s="510"/>
    </row>
    <row r="139" spans="1:13" s="50" customFormat="1" ht="49.5" customHeight="1">
      <c r="A139" s="255"/>
      <c r="B139" s="511"/>
      <c r="C139" s="1157"/>
      <c r="D139" s="258" t="s">
        <v>705</v>
      </c>
      <c r="E139" s="512" t="s">
        <v>1052</v>
      </c>
      <c r="F139" s="513"/>
      <c r="G139" s="514"/>
      <c r="H139" s="412"/>
      <c r="I139" s="412"/>
      <c r="J139" s="412"/>
      <c r="K139" s="515"/>
      <c r="L139" s="516"/>
      <c r="M139" s="510"/>
    </row>
    <row r="140" spans="1:13" s="45" customFormat="1" ht="49.5" customHeight="1">
      <c r="A140" s="255"/>
      <c r="B140" s="511"/>
      <c r="C140" s="1157"/>
      <c r="D140" s="366" t="s">
        <v>705</v>
      </c>
      <c r="E140" s="517" t="s">
        <v>1053</v>
      </c>
      <c r="F140" s="518"/>
      <c r="G140" s="519"/>
      <c r="H140" s="520"/>
      <c r="I140" s="520"/>
      <c r="J140" s="520"/>
      <c r="K140" s="521"/>
      <c r="L140" s="522"/>
      <c r="M140" s="523"/>
    </row>
    <row r="141" spans="1:13" s="45" customFormat="1" ht="49.5" customHeight="1">
      <c r="A141" s="255"/>
      <c r="B141" s="511"/>
      <c r="C141" s="1157"/>
      <c r="D141" s="366" t="s">
        <v>705</v>
      </c>
      <c r="E141" s="517" t="s">
        <v>888</v>
      </c>
      <c r="F141" s="518"/>
      <c r="G141" s="519"/>
      <c r="H141" s="520"/>
      <c r="I141" s="520"/>
      <c r="J141" s="520"/>
      <c r="K141" s="521"/>
      <c r="L141" s="522"/>
      <c r="M141" s="523"/>
    </row>
    <row r="142" spans="1:13" s="45" customFormat="1" ht="49.5" customHeight="1">
      <c r="A142" s="255"/>
      <c r="B142" s="511"/>
      <c r="C142" s="1157"/>
      <c r="D142" s="366" t="s">
        <v>705</v>
      </c>
      <c r="E142" s="517" t="s">
        <v>1054</v>
      </c>
      <c r="F142" s="518"/>
      <c r="G142" s="519"/>
      <c r="H142" s="520"/>
      <c r="I142" s="520"/>
      <c r="J142" s="520"/>
      <c r="K142" s="521"/>
      <c r="L142" s="522"/>
      <c r="M142" s="523"/>
    </row>
    <row r="143" spans="1:13" s="45" customFormat="1" ht="49.5" customHeight="1">
      <c r="A143" s="255"/>
      <c r="B143" s="511"/>
      <c r="C143" s="1157"/>
      <c r="D143" s="366" t="s">
        <v>705</v>
      </c>
      <c r="E143" s="517" t="s">
        <v>512</v>
      </c>
      <c r="F143" s="518"/>
      <c r="G143" s="519"/>
      <c r="H143" s="520"/>
      <c r="I143" s="520"/>
      <c r="J143" s="520"/>
      <c r="K143" s="521"/>
      <c r="L143" s="522"/>
      <c r="M143" s="523"/>
    </row>
    <row r="144" spans="1:13" s="45" customFormat="1" ht="49.5" customHeight="1">
      <c r="A144" s="255"/>
      <c r="B144" s="511"/>
      <c r="C144" s="1157"/>
      <c r="D144" s="366" t="s">
        <v>705</v>
      </c>
      <c r="E144" s="517" t="s">
        <v>1065</v>
      </c>
      <c r="F144" s="518"/>
      <c r="G144" s="519"/>
      <c r="H144" s="520"/>
      <c r="I144" s="520"/>
      <c r="J144" s="520"/>
      <c r="K144" s="521"/>
      <c r="L144" s="522"/>
      <c r="M144" s="523"/>
    </row>
    <row r="145" spans="1:13" s="45" customFormat="1" ht="49.5" customHeight="1">
      <c r="A145" s="255"/>
      <c r="B145" s="511"/>
      <c r="C145" s="1157"/>
      <c r="D145" s="366" t="s">
        <v>705</v>
      </c>
      <c r="E145" s="517" t="s">
        <v>1064</v>
      </c>
      <c r="F145" s="518"/>
      <c r="G145" s="519"/>
      <c r="H145" s="520"/>
      <c r="I145" s="520"/>
      <c r="J145" s="520"/>
      <c r="K145" s="521"/>
      <c r="L145" s="522"/>
      <c r="M145" s="523"/>
    </row>
    <row r="146" spans="1:13" s="45" customFormat="1" ht="49.5" customHeight="1">
      <c r="A146" s="255"/>
      <c r="B146" s="511"/>
      <c r="C146" s="1157"/>
      <c r="D146" s="366" t="s">
        <v>705</v>
      </c>
      <c r="E146" s="517" t="s">
        <v>511</v>
      </c>
      <c r="F146" s="518"/>
      <c r="G146" s="519"/>
      <c r="H146" s="520"/>
      <c r="I146" s="520"/>
      <c r="J146" s="520"/>
      <c r="K146" s="521"/>
      <c r="L146" s="522"/>
      <c r="M146" s="523"/>
    </row>
    <row r="147" spans="1:13" s="45" customFormat="1" ht="80.25" customHeight="1">
      <c r="A147" s="255"/>
      <c r="B147" s="511"/>
      <c r="C147" s="1157"/>
      <c r="D147" s="366" t="s">
        <v>705</v>
      </c>
      <c r="E147" s="517" t="s">
        <v>1063</v>
      </c>
      <c r="F147" s="518"/>
      <c r="G147" s="519"/>
      <c r="H147" s="520"/>
      <c r="I147" s="520"/>
      <c r="J147" s="520"/>
      <c r="K147" s="521"/>
      <c r="L147" s="522"/>
      <c r="M147" s="523"/>
    </row>
    <row r="148" spans="1:13" s="45" customFormat="1" ht="73.5" customHeight="1">
      <c r="A148" s="255"/>
      <c r="B148" s="511"/>
      <c r="C148" s="1157"/>
      <c r="D148" s="366" t="s">
        <v>705</v>
      </c>
      <c r="E148" s="517" t="s">
        <v>510</v>
      </c>
      <c r="F148" s="518"/>
      <c r="G148" s="519"/>
      <c r="H148" s="520"/>
      <c r="I148" s="520"/>
      <c r="J148" s="520"/>
      <c r="K148" s="521"/>
      <c r="L148" s="522"/>
      <c r="M148" s="523"/>
    </row>
    <row r="149" spans="1:13" s="45" customFormat="1" ht="49.5" customHeight="1">
      <c r="A149" s="255"/>
      <c r="B149" s="511"/>
      <c r="C149" s="1157"/>
      <c r="D149" s="366" t="s">
        <v>705</v>
      </c>
      <c r="E149" s="517" t="s">
        <v>1055</v>
      </c>
      <c r="F149" s="518"/>
      <c r="G149" s="519"/>
      <c r="H149" s="520"/>
      <c r="I149" s="520"/>
      <c r="J149" s="520"/>
      <c r="K149" s="521"/>
      <c r="L149" s="522"/>
      <c r="M149" s="523"/>
    </row>
    <row r="150" spans="1:13" s="45" customFormat="1" ht="49.5" customHeight="1">
      <c r="A150" s="255"/>
      <c r="B150" s="511"/>
      <c r="C150" s="1157"/>
      <c r="D150" s="366" t="s">
        <v>705</v>
      </c>
      <c r="E150" s="517" t="s">
        <v>1062</v>
      </c>
      <c r="F150" s="518"/>
      <c r="G150" s="519"/>
      <c r="H150" s="520"/>
      <c r="I150" s="520"/>
      <c r="J150" s="520"/>
      <c r="K150" s="521"/>
      <c r="L150" s="522"/>
      <c r="M150" s="523"/>
    </row>
    <row r="151" spans="1:13" s="45" customFormat="1" ht="49.5" customHeight="1">
      <c r="A151" s="255"/>
      <c r="B151" s="511"/>
      <c r="C151" s="1157"/>
      <c r="D151" s="366" t="s">
        <v>705</v>
      </c>
      <c r="E151" s="517" t="s">
        <v>1061</v>
      </c>
      <c r="F151" s="518"/>
      <c r="G151" s="519"/>
      <c r="H151" s="520"/>
      <c r="I151" s="520"/>
      <c r="J151" s="520"/>
      <c r="K151" s="521"/>
      <c r="L151" s="522"/>
      <c r="M151" s="523"/>
    </row>
    <row r="152" spans="1:13" s="45" customFormat="1" ht="101.25" customHeight="1">
      <c r="A152" s="255"/>
      <c r="B152" s="511"/>
      <c r="C152" s="1157"/>
      <c r="D152" s="366" t="s">
        <v>705</v>
      </c>
      <c r="E152" s="517" t="s">
        <v>1060</v>
      </c>
      <c r="F152" s="518"/>
      <c r="G152" s="519"/>
      <c r="H152" s="520"/>
      <c r="I152" s="520"/>
      <c r="J152" s="520"/>
      <c r="K152" s="521"/>
      <c r="L152" s="522"/>
      <c r="M152" s="523"/>
    </row>
    <row r="153" spans="1:13" s="45" customFormat="1" ht="49.5" customHeight="1">
      <c r="A153" s="255"/>
      <c r="B153" s="511"/>
      <c r="C153" s="1157"/>
      <c r="D153" s="366" t="s">
        <v>705</v>
      </c>
      <c r="E153" s="517" t="s">
        <v>1059</v>
      </c>
      <c r="F153" s="518"/>
      <c r="G153" s="519"/>
      <c r="H153" s="520"/>
      <c r="I153" s="520"/>
      <c r="J153" s="520"/>
      <c r="K153" s="521"/>
      <c r="L153" s="522"/>
      <c r="M153" s="523"/>
    </row>
    <row r="154" spans="1:13" s="45" customFormat="1" ht="49.5" customHeight="1">
      <c r="A154" s="255"/>
      <c r="B154" s="511"/>
      <c r="C154" s="1157"/>
      <c r="D154" s="366" t="s">
        <v>705</v>
      </c>
      <c r="E154" s="517" t="s">
        <v>1058</v>
      </c>
      <c r="F154" s="518"/>
      <c r="G154" s="519"/>
      <c r="H154" s="520"/>
      <c r="I154" s="520"/>
      <c r="J154" s="520"/>
      <c r="K154" s="521"/>
      <c r="L154" s="522"/>
      <c r="M154" s="523"/>
    </row>
    <row r="155" spans="1:13" s="45" customFormat="1" ht="49.5" customHeight="1">
      <c r="A155" s="255"/>
      <c r="B155" s="511"/>
      <c r="C155" s="1157"/>
      <c r="D155" s="366" t="s">
        <v>705</v>
      </c>
      <c r="E155" s="517" t="s">
        <v>1057</v>
      </c>
      <c r="F155" s="518"/>
      <c r="G155" s="519"/>
      <c r="H155" s="520"/>
      <c r="I155" s="520"/>
      <c r="J155" s="520"/>
      <c r="K155" s="521"/>
      <c r="L155" s="522"/>
      <c r="M155" s="523"/>
    </row>
    <row r="156" spans="1:13" s="45" customFormat="1" ht="56.25" customHeight="1">
      <c r="A156" s="255"/>
      <c r="B156" s="511"/>
      <c r="C156" s="1157"/>
      <c r="D156" s="258" t="s">
        <v>705</v>
      </c>
      <c r="E156" s="512" t="s">
        <v>1056</v>
      </c>
      <c r="F156" s="513"/>
      <c r="G156" s="514"/>
      <c r="H156" s="412"/>
      <c r="I156" s="412"/>
      <c r="J156" s="412"/>
      <c r="K156" s="515"/>
      <c r="L156" s="516"/>
      <c r="M156" s="510"/>
    </row>
    <row r="157" spans="1:14" s="57" customFormat="1" ht="28.5" customHeight="1">
      <c r="A157" s="524"/>
      <c r="B157" s="525"/>
      <c r="C157" s="1176">
        <v>2</v>
      </c>
      <c r="D157" s="526"/>
      <c r="E157" s="527" t="s">
        <v>889</v>
      </c>
      <c r="F157" s="528"/>
      <c r="G157" s="529"/>
      <c r="H157" s="530"/>
      <c r="I157" s="530"/>
      <c r="J157" s="530"/>
      <c r="K157" s="531"/>
      <c r="L157" s="532">
        <v>119500</v>
      </c>
      <c r="M157" s="533">
        <f>SUM(F157:L157)</f>
        <v>119500</v>
      </c>
      <c r="N157" s="57" t="s">
        <v>526</v>
      </c>
    </row>
    <row r="158" spans="1:13" s="56" customFormat="1" ht="23.25">
      <c r="A158" s="503"/>
      <c r="B158" s="494"/>
      <c r="C158" s="1175"/>
      <c r="D158" s="504"/>
      <c r="E158" s="505" t="s">
        <v>706</v>
      </c>
      <c r="F158" s="506"/>
      <c r="G158" s="507"/>
      <c r="H158" s="508"/>
      <c r="I158" s="508"/>
      <c r="J158" s="508"/>
      <c r="K158" s="509"/>
      <c r="L158" s="508"/>
      <c r="M158" s="510"/>
    </row>
    <row r="159" spans="1:13" s="45" customFormat="1" ht="49.5" customHeight="1">
      <c r="A159" s="255"/>
      <c r="B159" s="511"/>
      <c r="C159" s="1157"/>
      <c r="D159" s="534" t="s">
        <v>705</v>
      </c>
      <c r="E159" s="535" t="s">
        <v>1066</v>
      </c>
      <c r="F159" s="536"/>
      <c r="G159" s="537"/>
      <c r="H159" s="428"/>
      <c r="I159" s="428"/>
      <c r="J159" s="428"/>
      <c r="K159" s="538"/>
      <c r="L159" s="539"/>
      <c r="M159" s="540"/>
    </row>
    <row r="160" spans="1:13" s="45" customFormat="1" ht="49.5" customHeight="1">
      <c r="A160" s="255"/>
      <c r="B160" s="511"/>
      <c r="C160" s="1157"/>
      <c r="D160" s="541" t="s">
        <v>705</v>
      </c>
      <c r="E160" s="517" t="s">
        <v>1067</v>
      </c>
      <c r="F160" s="518"/>
      <c r="G160" s="519"/>
      <c r="H160" s="520"/>
      <c r="I160" s="520"/>
      <c r="J160" s="520"/>
      <c r="K160" s="521"/>
      <c r="L160" s="522"/>
      <c r="M160" s="523"/>
    </row>
    <row r="161" spans="1:13" s="45" customFormat="1" ht="49.5" customHeight="1">
      <c r="A161" s="255"/>
      <c r="B161" s="511"/>
      <c r="C161" s="1157"/>
      <c r="D161" s="541" t="s">
        <v>705</v>
      </c>
      <c r="E161" s="517" t="s">
        <v>1068</v>
      </c>
      <c r="F161" s="518"/>
      <c r="G161" s="519"/>
      <c r="H161" s="520"/>
      <c r="I161" s="520"/>
      <c r="J161" s="520"/>
      <c r="K161" s="521"/>
      <c r="L161" s="522"/>
      <c r="M161" s="523"/>
    </row>
    <row r="162" spans="1:13" s="45" customFormat="1" ht="49.5" customHeight="1">
      <c r="A162" s="255"/>
      <c r="B162" s="511"/>
      <c r="C162" s="1157"/>
      <c r="D162" s="541" t="s">
        <v>705</v>
      </c>
      <c r="E162" s="517" t="s">
        <v>1069</v>
      </c>
      <c r="F162" s="518"/>
      <c r="G162" s="519"/>
      <c r="H162" s="520"/>
      <c r="I162" s="520"/>
      <c r="J162" s="520"/>
      <c r="K162" s="521"/>
      <c r="L162" s="522"/>
      <c r="M162" s="523"/>
    </row>
    <row r="163" spans="1:13" s="45" customFormat="1" ht="49.5" customHeight="1">
      <c r="A163" s="255"/>
      <c r="B163" s="511"/>
      <c r="C163" s="1157"/>
      <c r="D163" s="541" t="s">
        <v>705</v>
      </c>
      <c r="E163" s="517" t="s">
        <v>1070</v>
      </c>
      <c r="F163" s="518"/>
      <c r="G163" s="519"/>
      <c r="H163" s="520"/>
      <c r="I163" s="520"/>
      <c r="J163" s="520"/>
      <c r="K163" s="521"/>
      <c r="L163" s="522"/>
      <c r="M163" s="523"/>
    </row>
    <row r="164" spans="1:13" s="45" customFormat="1" ht="49.5" customHeight="1">
      <c r="A164" s="255"/>
      <c r="B164" s="511"/>
      <c r="C164" s="1157"/>
      <c r="D164" s="541" t="s">
        <v>705</v>
      </c>
      <c r="E164" s="517" t="s">
        <v>1071</v>
      </c>
      <c r="F164" s="518"/>
      <c r="G164" s="519"/>
      <c r="H164" s="520"/>
      <c r="I164" s="520"/>
      <c r="J164" s="520"/>
      <c r="K164" s="521"/>
      <c r="L164" s="522"/>
      <c r="M164" s="523"/>
    </row>
    <row r="165" spans="1:13" s="45" customFormat="1" ht="49.5" customHeight="1">
      <c r="A165" s="255"/>
      <c r="B165" s="511"/>
      <c r="C165" s="1157"/>
      <c r="D165" s="541" t="s">
        <v>705</v>
      </c>
      <c r="E165" s="517" t="s">
        <v>1072</v>
      </c>
      <c r="F165" s="518"/>
      <c r="G165" s="519"/>
      <c r="H165" s="520"/>
      <c r="I165" s="520"/>
      <c r="J165" s="520"/>
      <c r="K165" s="521"/>
      <c r="L165" s="522"/>
      <c r="M165" s="523"/>
    </row>
    <row r="166" spans="1:13" s="45" customFormat="1" ht="49.5" customHeight="1">
      <c r="A166" s="255"/>
      <c r="B166" s="511"/>
      <c r="C166" s="1157"/>
      <c r="D166" s="541" t="s">
        <v>705</v>
      </c>
      <c r="E166" s="517" t="s">
        <v>1073</v>
      </c>
      <c r="F166" s="518"/>
      <c r="G166" s="519"/>
      <c r="H166" s="520"/>
      <c r="I166" s="520"/>
      <c r="J166" s="520"/>
      <c r="K166" s="521"/>
      <c r="L166" s="522"/>
      <c r="M166" s="523"/>
    </row>
    <row r="167" spans="1:13" s="45" customFormat="1" ht="49.5" customHeight="1">
      <c r="A167" s="255"/>
      <c r="B167" s="511"/>
      <c r="C167" s="1157"/>
      <c r="D167" s="541" t="s">
        <v>705</v>
      </c>
      <c r="E167" s="517" t="s">
        <v>1074</v>
      </c>
      <c r="F167" s="518"/>
      <c r="G167" s="519"/>
      <c r="H167" s="520"/>
      <c r="I167" s="520"/>
      <c r="J167" s="520"/>
      <c r="K167" s="521"/>
      <c r="L167" s="522"/>
      <c r="M167" s="523"/>
    </row>
    <row r="168" spans="1:13" s="50" customFormat="1" ht="49.5" customHeight="1">
      <c r="A168" s="255"/>
      <c r="B168" s="511"/>
      <c r="C168" s="1157"/>
      <c r="D168" s="542" t="s">
        <v>705</v>
      </c>
      <c r="E168" s="512" t="s">
        <v>1075</v>
      </c>
      <c r="F168" s="513"/>
      <c r="G168" s="514"/>
      <c r="H168" s="412"/>
      <c r="I168" s="412"/>
      <c r="J168" s="412"/>
      <c r="K168" s="515"/>
      <c r="L168" s="516"/>
      <c r="M168" s="510"/>
    </row>
    <row r="169" spans="1:14" s="48" customFormat="1" ht="30.75" customHeight="1">
      <c r="A169" s="493"/>
      <c r="B169" s="543"/>
      <c r="C169" s="1176">
        <v>3</v>
      </c>
      <c r="D169" s="1249"/>
      <c r="E169" s="527" t="s">
        <v>890</v>
      </c>
      <c r="F169" s="1250"/>
      <c r="G169" s="1251"/>
      <c r="H169" s="1252"/>
      <c r="I169" s="1252"/>
      <c r="J169" s="1252"/>
      <c r="K169" s="1253"/>
      <c r="L169" s="532">
        <v>185500</v>
      </c>
      <c r="M169" s="533">
        <f>SUM(F169:L169)</f>
        <v>185500</v>
      </c>
      <c r="N169" s="48" t="s">
        <v>526</v>
      </c>
    </row>
    <row r="170" spans="1:13" s="56" customFormat="1" ht="22.5" customHeight="1">
      <c r="A170" s="503"/>
      <c r="B170" s="494"/>
      <c r="C170" s="1175"/>
      <c r="D170" s="542" t="s">
        <v>705</v>
      </c>
      <c r="E170" s="505" t="s">
        <v>706</v>
      </c>
      <c r="F170" s="506"/>
      <c r="G170" s="507"/>
      <c r="H170" s="508"/>
      <c r="I170" s="508"/>
      <c r="J170" s="508"/>
      <c r="K170" s="509"/>
      <c r="L170" s="508"/>
      <c r="M170" s="510"/>
    </row>
    <row r="171" spans="1:13" s="50" customFormat="1" ht="49.5" customHeight="1">
      <c r="A171" s="255"/>
      <c r="B171" s="546"/>
      <c r="C171" s="1157"/>
      <c r="D171" s="534" t="s">
        <v>705</v>
      </c>
      <c r="E171" s="535" t="s">
        <v>1076</v>
      </c>
      <c r="F171" s="536"/>
      <c r="G171" s="537"/>
      <c r="H171" s="428"/>
      <c r="I171" s="428"/>
      <c r="J171" s="428"/>
      <c r="K171" s="538"/>
      <c r="L171" s="539"/>
      <c r="M171" s="540"/>
    </row>
    <row r="172" spans="1:13" s="45" customFormat="1" ht="49.5" customHeight="1">
      <c r="A172" s="255"/>
      <c r="B172" s="546"/>
      <c r="C172" s="1157"/>
      <c r="D172" s="541" t="s">
        <v>705</v>
      </c>
      <c r="E172" s="517" t="s">
        <v>1077</v>
      </c>
      <c r="F172" s="518"/>
      <c r="G172" s="519"/>
      <c r="H172" s="520"/>
      <c r="I172" s="520"/>
      <c r="J172" s="520"/>
      <c r="K172" s="521"/>
      <c r="L172" s="522"/>
      <c r="M172" s="523"/>
    </row>
    <row r="173" spans="1:13" s="45" customFormat="1" ht="49.5" customHeight="1">
      <c r="A173" s="255"/>
      <c r="B173" s="546"/>
      <c r="C173" s="1157"/>
      <c r="D173" s="541" t="s">
        <v>705</v>
      </c>
      <c r="E173" s="517" t="s">
        <v>1078</v>
      </c>
      <c r="F173" s="518"/>
      <c r="G173" s="519"/>
      <c r="H173" s="520"/>
      <c r="I173" s="520"/>
      <c r="J173" s="520"/>
      <c r="K173" s="521"/>
      <c r="L173" s="522"/>
      <c r="M173" s="523"/>
    </row>
    <row r="174" spans="1:13" s="45" customFormat="1" ht="49.5" customHeight="1">
      <c r="A174" s="255"/>
      <c r="B174" s="546"/>
      <c r="C174" s="1157"/>
      <c r="D174" s="541" t="s">
        <v>705</v>
      </c>
      <c r="E174" s="517" t="s">
        <v>1079</v>
      </c>
      <c r="F174" s="518"/>
      <c r="G174" s="519"/>
      <c r="H174" s="520"/>
      <c r="I174" s="520"/>
      <c r="J174" s="520"/>
      <c r="K174" s="521"/>
      <c r="L174" s="522"/>
      <c r="M174" s="523"/>
    </row>
    <row r="175" spans="1:13" s="45" customFormat="1" ht="49.5" customHeight="1">
      <c r="A175" s="255"/>
      <c r="B175" s="546"/>
      <c r="C175" s="1157"/>
      <c r="D175" s="541" t="s">
        <v>705</v>
      </c>
      <c r="E175" s="517" t="s">
        <v>1080</v>
      </c>
      <c r="F175" s="518"/>
      <c r="G175" s="519"/>
      <c r="H175" s="520"/>
      <c r="I175" s="520"/>
      <c r="J175" s="520"/>
      <c r="K175" s="521"/>
      <c r="L175" s="522"/>
      <c r="M175" s="523"/>
    </row>
    <row r="176" spans="1:13" s="45" customFormat="1" ht="49.5" customHeight="1">
      <c r="A176" s="255"/>
      <c r="B176" s="546"/>
      <c r="C176" s="1157"/>
      <c r="D176" s="541" t="s">
        <v>705</v>
      </c>
      <c r="E176" s="517" t="s">
        <v>1081</v>
      </c>
      <c r="F176" s="518"/>
      <c r="G176" s="519"/>
      <c r="H176" s="520"/>
      <c r="I176" s="520"/>
      <c r="J176" s="520"/>
      <c r="K176" s="521"/>
      <c r="L176" s="522"/>
      <c r="M176" s="523"/>
    </row>
    <row r="177" spans="1:13" s="45" customFormat="1" ht="49.5" customHeight="1">
      <c r="A177" s="255"/>
      <c r="B177" s="546"/>
      <c r="C177" s="1157"/>
      <c r="D177" s="541" t="s">
        <v>705</v>
      </c>
      <c r="E177" s="517" t="s">
        <v>1082</v>
      </c>
      <c r="F177" s="518"/>
      <c r="G177" s="519"/>
      <c r="H177" s="520"/>
      <c r="I177" s="520"/>
      <c r="J177" s="520"/>
      <c r="K177" s="521"/>
      <c r="L177" s="522"/>
      <c r="M177" s="523"/>
    </row>
    <row r="178" spans="1:13" s="45" customFormat="1" ht="49.5" customHeight="1">
      <c r="A178" s="255"/>
      <c r="B178" s="546"/>
      <c r="C178" s="1157"/>
      <c r="D178" s="541" t="s">
        <v>705</v>
      </c>
      <c r="E178" s="517" t="s">
        <v>1083</v>
      </c>
      <c r="F178" s="518"/>
      <c r="G178" s="519"/>
      <c r="H178" s="520"/>
      <c r="I178" s="520"/>
      <c r="J178" s="520"/>
      <c r="K178" s="521"/>
      <c r="L178" s="522"/>
      <c r="M178" s="523"/>
    </row>
    <row r="179" spans="1:13" s="45" customFormat="1" ht="49.5" customHeight="1">
      <c r="A179" s="255"/>
      <c r="B179" s="546"/>
      <c r="C179" s="1157"/>
      <c r="D179" s="541" t="s">
        <v>705</v>
      </c>
      <c r="E179" s="517" t="s">
        <v>1084</v>
      </c>
      <c r="F179" s="518"/>
      <c r="G179" s="519"/>
      <c r="H179" s="520"/>
      <c r="I179" s="520"/>
      <c r="J179" s="520"/>
      <c r="K179" s="521"/>
      <c r="L179" s="522"/>
      <c r="M179" s="523"/>
    </row>
    <row r="180" spans="1:13" s="45" customFormat="1" ht="49.5" customHeight="1">
      <c r="A180" s="255"/>
      <c r="B180" s="546"/>
      <c r="C180" s="1157"/>
      <c r="D180" s="541" t="s">
        <v>705</v>
      </c>
      <c r="E180" s="517" t="s">
        <v>1085</v>
      </c>
      <c r="F180" s="518"/>
      <c r="G180" s="519"/>
      <c r="H180" s="520"/>
      <c r="I180" s="520"/>
      <c r="J180" s="520"/>
      <c r="K180" s="521"/>
      <c r="L180" s="522"/>
      <c r="M180" s="523"/>
    </row>
    <row r="181" spans="1:13" s="45" customFormat="1" ht="60.75" customHeight="1">
      <c r="A181" s="255"/>
      <c r="B181" s="546"/>
      <c r="C181" s="1157"/>
      <c r="D181" s="541" t="s">
        <v>705</v>
      </c>
      <c r="E181" s="517" t="s">
        <v>120</v>
      </c>
      <c r="F181" s="518"/>
      <c r="G181" s="519"/>
      <c r="H181" s="520"/>
      <c r="I181" s="520"/>
      <c r="J181" s="520"/>
      <c r="K181" s="521"/>
      <c r="L181" s="522"/>
      <c r="M181" s="523"/>
    </row>
    <row r="182" spans="1:13" s="45" customFormat="1" ht="77.25" customHeight="1">
      <c r="A182" s="255"/>
      <c r="B182" s="546"/>
      <c r="C182" s="1157"/>
      <c r="D182" s="542" t="s">
        <v>705</v>
      </c>
      <c r="E182" s="512" t="s">
        <v>1086</v>
      </c>
      <c r="F182" s="513"/>
      <c r="G182" s="514"/>
      <c r="H182" s="412"/>
      <c r="I182" s="412"/>
      <c r="J182" s="412"/>
      <c r="K182" s="515"/>
      <c r="L182" s="516"/>
      <c r="M182" s="510"/>
    </row>
    <row r="183" spans="1:14" s="48" customFormat="1" ht="27" customHeight="1">
      <c r="A183" s="493"/>
      <c r="B183" s="543"/>
      <c r="C183" s="1175">
        <v>4</v>
      </c>
      <c r="D183" s="544"/>
      <c r="E183" s="545" t="s">
        <v>891</v>
      </c>
      <c r="F183" s="497"/>
      <c r="G183" s="498"/>
      <c r="H183" s="499"/>
      <c r="I183" s="499"/>
      <c r="J183" s="499"/>
      <c r="K183" s="499"/>
      <c r="L183" s="547">
        <v>10000</v>
      </c>
      <c r="M183" s="548">
        <f>SUM(F183:L183)</f>
        <v>10000</v>
      </c>
      <c r="N183" s="48" t="s">
        <v>526</v>
      </c>
    </row>
    <row r="184" spans="1:14" s="48" customFormat="1" ht="27" customHeight="1">
      <c r="A184" s="493"/>
      <c r="B184" s="543"/>
      <c r="C184" s="1175">
        <v>5</v>
      </c>
      <c r="D184" s="544"/>
      <c r="E184" s="545" t="s">
        <v>892</v>
      </c>
      <c r="F184" s="497"/>
      <c r="G184" s="498"/>
      <c r="H184" s="499"/>
      <c r="I184" s="499"/>
      <c r="J184" s="499"/>
      <c r="K184" s="499"/>
      <c r="L184" s="501">
        <v>20000</v>
      </c>
      <c r="M184" s="548">
        <f>SUM(F184:L184)</f>
        <v>20000</v>
      </c>
      <c r="N184" s="48" t="s">
        <v>526</v>
      </c>
    </row>
    <row r="185" spans="1:13" s="56" customFormat="1" ht="26.25" customHeight="1">
      <c r="A185" s="503"/>
      <c r="B185" s="494"/>
      <c r="C185" s="1175"/>
      <c r="D185" s="504"/>
      <c r="E185" s="505" t="s">
        <v>706</v>
      </c>
      <c r="F185" s="506"/>
      <c r="G185" s="507"/>
      <c r="H185" s="508"/>
      <c r="I185" s="508"/>
      <c r="J185" s="508"/>
      <c r="K185" s="509"/>
      <c r="L185" s="508"/>
      <c r="M185" s="510"/>
    </row>
    <row r="186" spans="1:13" s="50" customFormat="1" ht="54.75" customHeight="1">
      <c r="A186" s="255"/>
      <c r="B186" s="546"/>
      <c r="C186" s="1157"/>
      <c r="D186" s="542" t="s">
        <v>705</v>
      </c>
      <c r="E186" s="512" t="s">
        <v>1087</v>
      </c>
      <c r="F186" s="513"/>
      <c r="G186" s="514"/>
      <c r="H186" s="412"/>
      <c r="I186" s="412"/>
      <c r="J186" s="412"/>
      <c r="K186" s="515"/>
      <c r="L186" s="516"/>
      <c r="M186" s="510"/>
    </row>
    <row r="187" spans="1:13" s="45" customFormat="1" ht="53.25" customHeight="1">
      <c r="A187" s="255"/>
      <c r="B187" s="546"/>
      <c r="C187" s="1157"/>
      <c r="D187" s="549" t="s">
        <v>705</v>
      </c>
      <c r="E187" s="550" t="s">
        <v>1088</v>
      </c>
      <c r="F187" s="551"/>
      <c r="G187" s="552"/>
      <c r="H187" s="553"/>
      <c r="I187" s="553"/>
      <c r="J187" s="553"/>
      <c r="K187" s="554"/>
      <c r="L187" s="555"/>
      <c r="M187" s="556"/>
    </row>
    <row r="188" spans="1:14" s="48" customFormat="1" ht="30" customHeight="1">
      <c r="A188" s="493"/>
      <c r="B188" s="543"/>
      <c r="C188" s="1176">
        <v>6</v>
      </c>
      <c r="D188" s="1249"/>
      <c r="E188" s="527" t="s">
        <v>893</v>
      </c>
      <c r="F188" s="1250"/>
      <c r="G188" s="1251"/>
      <c r="H188" s="1252"/>
      <c r="I188" s="1252"/>
      <c r="J188" s="1252"/>
      <c r="K188" s="1252"/>
      <c r="L188" s="532">
        <v>250000</v>
      </c>
      <c r="M188" s="1254">
        <f>SUM(F188:L188)</f>
        <v>250000</v>
      </c>
      <c r="N188" s="48" t="s">
        <v>526</v>
      </c>
    </row>
    <row r="189" spans="1:13" s="45" customFormat="1" ht="26.25" customHeight="1">
      <c r="A189" s="255"/>
      <c r="B189" s="546"/>
      <c r="C189" s="1157"/>
      <c r="D189" s="557"/>
      <c r="E189" s="505" t="s">
        <v>706</v>
      </c>
      <c r="F189" s="513"/>
      <c r="G189" s="514"/>
      <c r="H189" s="412"/>
      <c r="I189" s="412"/>
      <c r="J189" s="412"/>
      <c r="K189" s="515"/>
      <c r="L189" s="412"/>
      <c r="M189" s="510"/>
    </row>
    <row r="190" spans="1:13" s="45" customFormat="1" ht="32.25" customHeight="1">
      <c r="A190" s="255"/>
      <c r="B190" s="546"/>
      <c r="C190" s="1157"/>
      <c r="D190" s="542" t="s">
        <v>705</v>
      </c>
      <c r="E190" s="512" t="s">
        <v>513</v>
      </c>
      <c r="F190" s="513"/>
      <c r="G190" s="514"/>
      <c r="H190" s="412"/>
      <c r="I190" s="412"/>
      <c r="J190" s="412"/>
      <c r="K190" s="515"/>
      <c r="L190" s="516"/>
      <c r="M190" s="510"/>
    </row>
    <row r="191" spans="1:13" s="45" customFormat="1" ht="33" customHeight="1">
      <c r="A191" s="255"/>
      <c r="B191" s="546"/>
      <c r="C191" s="1157"/>
      <c r="D191" s="541" t="s">
        <v>705</v>
      </c>
      <c r="E191" s="517" t="s">
        <v>1089</v>
      </c>
      <c r="F191" s="518"/>
      <c r="G191" s="519"/>
      <c r="H191" s="520"/>
      <c r="I191" s="520"/>
      <c r="J191" s="520"/>
      <c r="K191" s="521"/>
      <c r="L191" s="522"/>
      <c r="M191" s="523"/>
    </row>
    <row r="192" spans="1:13" s="45" customFormat="1" ht="47.25" customHeight="1">
      <c r="A192" s="255"/>
      <c r="B192" s="546"/>
      <c r="C192" s="1157"/>
      <c r="D192" s="541" t="s">
        <v>705</v>
      </c>
      <c r="E192" s="517" t="s">
        <v>1090</v>
      </c>
      <c r="F192" s="518"/>
      <c r="G192" s="519"/>
      <c r="H192" s="520"/>
      <c r="I192" s="520"/>
      <c r="J192" s="520"/>
      <c r="K192" s="521"/>
      <c r="L192" s="522"/>
      <c r="M192" s="523"/>
    </row>
    <row r="193" spans="1:13" s="45" customFormat="1" ht="41.25" customHeight="1">
      <c r="A193" s="255"/>
      <c r="B193" s="546"/>
      <c r="C193" s="1157"/>
      <c r="D193" s="542" t="s">
        <v>705</v>
      </c>
      <c r="E193" s="512" t="s">
        <v>1091</v>
      </c>
      <c r="F193" s="513"/>
      <c r="G193" s="514"/>
      <c r="H193" s="412"/>
      <c r="I193" s="412"/>
      <c r="J193" s="412"/>
      <c r="K193" s="515"/>
      <c r="L193" s="516"/>
      <c r="M193" s="510"/>
    </row>
    <row r="194" spans="1:14" s="46" customFormat="1" ht="67.5" customHeight="1">
      <c r="A194" s="158"/>
      <c r="B194" s="166"/>
      <c r="C194" s="1177">
        <v>7</v>
      </c>
      <c r="D194" s="558"/>
      <c r="E194" s="559" t="s">
        <v>139</v>
      </c>
      <c r="F194" s="320"/>
      <c r="G194" s="203"/>
      <c r="H194" s="202"/>
      <c r="I194" s="202"/>
      <c r="J194" s="202"/>
      <c r="K194" s="200"/>
      <c r="L194" s="560">
        <v>30000</v>
      </c>
      <c r="M194" s="561">
        <f>SUM(F194:L194)</f>
        <v>30000</v>
      </c>
      <c r="N194" s="46" t="s">
        <v>526</v>
      </c>
    </row>
    <row r="195" spans="1:14" s="46" customFormat="1" ht="78" customHeight="1">
      <c r="A195" s="158"/>
      <c r="B195" s="1255"/>
      <c r="C195" s="1178">
        <v>8</v>
      </c>
      <c r="D195" s="562"/>
      <c r="E195" s="563" t="s">
        <v>140</v>
      </c>
      <c r="F195" s="183"/>
      <c r="G195" s="186"/>
      <c r="H195" s="185"/>
      <c r="I195" s="185"/>
      <c r="J195" s="185"/>
      <c r="K195" s="187"/>
      <c r="L195" s="564">
        <v>145000</v>
      </c>
      <c r="M195" s="565">
        <f>SUM(F195:L195)</f>
        <v>145000</v>
      </c>
      <c r="N195" s="46" t="s">
        <v>526</v>
      </c>
    </row>
    <row r="196" spans="1:13" s="46" customFormat="1" ht="49.5" customHeight="1">
      <c r="A196" s="158"/>
      <c r="B196" s="1255"/>
      <c r="C196" s="1179">
        <v>9</v>
      </c>
      <c r="D196" s="566"/>
      <c r="E196" s="567" t="s">
        <v>116</v>
      </c>
      <c r="F196" s="320"/>
      <c r="G196" s="203"/>
      <c r="H196" s="202"/>
      <c r="I196" s="202"/>
      <c r="J196" s="202"/>
      <c r="K196" s="202"/>
      <c r="L196" s="202">
        <v>30000</v>
      </c>
      <c r="M196" s="561">
        <f>L196</f>
        <v>30000</v>
      </c>
    </row>
    <row r="197" spans="1:13" s="46" customFormat="1" ht="49.5" customHeight="1">
      <c r="A197" s="158"/>
      <c r="B197" s="1255"/>
      <c r="C197" s="1179">
        <v>10</v>
      </c>
      <c r="D197" s="566"/>
      <c r="E197" s="567" t="s">
        <v>117</v>
      </c>
      <c r="F197" s="320"/>
      <c r="G197" s="203"/>
      <c r="H197" s="202"/>
      <c r="I197" s="202"/>
      <c r="J197" s="202"/>
      <c r="K197" s="202"/>
      <c r="L197" s="202">
        <v>40000</v>
      </c>
      <c r="M197" s="561">
        <f>L197</f>
        <v>40000</v>
      </c>
    </row>
    <row r="198" spans="1:13" s="46" customFormat="1" ht="49.5" customHeight="1">
      <c r="A198" s="158"/>
      <c r="B198" s="1255"/>
      <c r="C198" s="1179">
        <v>11</v>
      </c>
      <c r="D198" s="566"/>
      <c r="E198" s="567" t="s">
        <v>118</v>
      </c>
      <c r="F198" s="320"/>
      <c r="G198" s="203"/>
      <c r="H198" s="202"/>
      <c r="I198" s="202"/>
      <c r="J198" s="202"/>
      <c r="K198" s="202"/>
      <c r="L198" s="202">
        <v>8000</v>
      </c>
      <c r="M198" s="561">
        <f>L198</f>
        <v>8000</v>
      </c>
    </row>
    <row r="199" spans="1:13" s="46" customFormat="1" ht="63" customHeight="1">
      <c r="A199" s="158"/>
      <c r="B199" s="1255"/>
      <c r="C199" s="1180">
        <v>12</v>
      </c>
      <c r="D199" s="568"/>
      <c r="E199" s="182" t="s">
        <v>119</v>
      </c>
      <c r="F199" s="183"/>
      <c r="G199" s="186"/>
      <c r="H199" s="185"/>
      <c r="I199" s="185"/>
      <c r="J199" s="185"/>
      <c r="K199" s="185"/>
      <c r="L199" s="185">
        <v>14000</v>
      </c>
      <c r="M199" s="565">
        <f>L199</f>
        <v>14000</v>
      </c>
    </row>
    <row r="200" spans="1:13" s="46" customFormat="1" ht="87.75" customHeight="1">
      <c r="A200" s="158"/>
      <c r="B200" s="1256"/>
      <c r="C200" s="1181">
        <v>13</v>
      </c>
      <c r="D200" s="569"/>
      <c r="E200" s="570" t="s">
        <v>4</v>
      </c>
      <c r="F200" s="571"/>
      <c r="G200" s="572"/>
      <c r="H200" s="573"/>
      <c r="I200" s="573"/>
      <c r="J200" s="573"/>
      <c r="K200" s="573"/>
      <c r="L200" s="573">
        <v>14000</v>
      </c>
      <c r="M200" s="574">
        <f>L200</f>
        <v>14000</v>
      </c>
    </row>
    <row r="201" spans="1:13" s="40" customFormat="1" ht="45.75" customHeight="1">
      <c r="A201" s="257"/>
      <c r="B201" s="575">
        <v>75075</v>
      </c>
      <c r="C201" s="1182"/>
      <c r="D201" s="576"/>
      <c r="E201" s="577" t="s">
        <v>741</v>
      </c>
      <c r="F201" s="578">
        <f>F202</f>
        <v>0</v>
      </c>
      <c r="G201" s="579">
        <f aca="true" t="shared" si="22" ref="G201:M201">G202</f>
        <v>0</v>
      </c>
      <c r="H201" s="579">
        <f t="shared" si="22"/>
        <v>0</v>
      </c>
      <c r="I201" s="579">
        <f t="shared" si="22"/>
        <v>0</v>
      </c>
      <c r="J201" s="579">
        <f t="shared" si="22"/>
        <v>0</v>
      </c>
      <c r="K201" s="579">
        <f t="shared" si="22"/>
        <v>0</v>
      </c>
      <c r="L201" s="579">
        <f t="shared" si="22"/>
        <v>119500</v>
      </c>
      <c r="M201" s="580">
        <f t="shared" si="22"/>
        <v>119500</v>
      </c>
    </row>
    <row r="202" spans="1:14" s="58" customFormat="1" ht="49.5" customHeight="1">
      <c r="A202" s="503"/>
      <c r="B202" s="581"/>
      <c r="C202" s="1183">
        <v>1</v>
      </c>
      <c r="D202" s="582"/>
      <c r="E202" s="583" t="s">
        <v>894</v>
      </c>
      <c r="F202" s="584"/>
      <c r="G202" s="585"/>
      <c r="H202" s="586"/>
      <c r="I202" s="586"/>
      <c r="J202" s="586"/>
      <c r="K202" s="586"/>
      <c r="L202" s="587">
        <v>119500</v>
      </c>
      <c r="M202" s="588">
        <f>SUM(F202:L202)</f>
        <v>119500</v>
      </c>
      <c r="N202" s="58" t="s">
        <v>526</v>
      </c>
    </row>
    <row r="203" spans="1:13" s="50" customFormat="1" ht="30" customHeight="1">
      <c r="A203" s="589"/>
      <c r="B203" s="511"/>
      <c r="C203" s="1157"/>
      <c r="D203" s="258"/>
      <c r="E203" s="505" t="s">
        <v>706</v>
      </c>
      <c r="F203" s="513"/>
      <c r="G203" s="514"/>
      <c r="H203" s="412"/>
      <c r="I203" s="412"/>
      <c r="J203" s="412"/>
      <c r="K203" s="412"/>
      <c r="L203" s="515"/>
      <c r="M203" s="590"/>
    </row>
    <row r="204" spans="1:13" s="45" customFormat="1" ht="105" customHeight="1">
      <c r="A204" s="255"/>
      <c r="B204" s="511"/>
      <c r="C204" s="1157"/>
      <c r="D204" s="534" t="s">
        <v>705</v>
      </c>
      <c r="E204" s="591" t="s">
        <v>1092</v>
      </c>
      <c r="F204" s="536"/>
      <c r="G204" s="537"/>
      <c r="H204" s="428"/>
      <c r="I204" s="428"/>
      <c r="J204" s="428"/>
      <c r="K204" s="428"/>
      <c r="L204" s="592"/>
      <c r="M204" s="593"/>
    </row>
    <row r="205" spans="1:13" s="45" customFormat="1" ht="57.75" customHeight="1">
      <c r="A205" s="255"/>
      <c r="B205" s="594"/>
      <c r="C205" s="1163"/>
      <c r="D205" s="595" t="s">
        <v>705</v>
      </c>
      <c r="E205" s="505" t="s">
        <v>1093</v>
      </c>
      <c r="F205" s="596"/>
      <c r="G205" s="597"/>
      <c r="H205" s="598"/>
      <c r="I205" s="598"/>
      <c r="J205" s="598"/>
      <c r="K205" s="598"/>
      <c r="L205" s="599"/>
      <c r="M205" s="600"/>
    </row>
    <row r="206" spans="1:13" s="40" customFormat="1" ht="44.25" customHeight="1">
      <c r="A206" s="257"/>
      <c r="B206" s="601">
        <v>75095</v>
      </c>
      <c r="C206" s="1184"/>
      <c r="D206" s="602"/>
      <c r="E206" s="603" t="s">
        <v>24</v>
      </c>
      <c r="F206" s="604">
        <f>SUM(F207:F212)</f>
        <v>0</v>
      </c>
      <c r="G206" s="605">
        <f aca="true" t="shared" si="23" ref="G206:L206">SUM(G207:G212)</f>
        <v>0</v>
      </c>
      <c r="H206" s="605">
        <f t="shared" si="23"/>
        <v>0</v>
      </c>
      <c r="I206" s="605">
        <f t="shared" si="23"/>
        <v>0</v>
      </c>
      <c r="J206" s="605">
        <f t="shared" si="23"/>
        <v>0</v>
      </c>
      <c r="K206" s="605">
        <f t="shared" si="23"/>
        <v>0</v>
      </c>
      <c r="L206" s="606">
        <f t="shared" si="23"/>
        <v>35000</v>
      </c>
      <c r="M206" s="607">
        <f>SUM(F206:L206)</f>
        <v>35000</v>
      </c>
    </row>
    <row r="207" spans="1:14" s="56" customFormat="1" ht="33.75" customHeight="1">
      <c r="A207" s="503"/>
      <c r="B207" s="581"/>
      <c r="C207" s="1183">
        <v>1</v>
      </c>
      <c r="D207" s="582"/>
      <c r="E207" s="583" t="s">
        <v>595</v>
      </c>
      <c r="F207" s="584"/>
      <c r="G207" s="585"/>
      <c r="H207" s="586"/>
      <c r="I207" s="586"/>
      <c r="J207" s="586"/>
      <c r="K207" s="586"/>
      <c r="L207" s="587">
        <v>35000</v>
      </c>
      <c r="M207" s="588">
        <f>SUM(F207:L207)</f>
        <v>35000</v>
      </c>
      <c r="N207" s="56" t="s">
        <v>1094</v>
      </c>
    </row>
    <row r="208" spans="1:13" s="45" customFormat="1" ht="23.25">
      <c r="A208" s="255"/>
      <c r="B208" s="511"/>
      <c r="C208" s="1157"/>
      <c r="D208" s="258"/>
      <c r="E208" s="505" t="s">
        <v>706</v>
      </c>
      <c r="F208" s="513"/>
      <c r="G208" s="608"/>
      <c r="H208" s="412"/>
      <c r="I208" s="608"/>
      <c r="J208" s="412"/>
      <c r="K208" s="608"/>
      <c r="L208" s="412"/>
      <c r="M208" s="510"/>
    </row>
    <row r="209" spans="1:13" s="45" customFormat="1" ht="56.25" customHeight="1">
      <c r="A209" s="255"/>
      <c r="B209" s="511"/>
      <c r="C209" s="1157"/>
      <c r="D209" s="534" t="s">
        <v>705</v>
      </c>
      <c r="E209" s="591" t="s">
        <v>59</v>
      </c>
      <c r="F209" s="536"/>
      <c r="G209" s="609"/>
      <c r="H209" s="428"/>
      <c r="I209" s="609"/>
      <c r="J209" s="428"/>
      <c r="K209" s="609"/>
      <c r="L209" s="610"/>
      <c r="M209" s="540"/>
    </row>
    <row r="210" spans="1:13" s="45" customFormat="1" ht="63" customHeight="1">
      <c r="A210" s="255"/>
      <c r="B210" s="511"/>
      <c r="C210" s="1157"/>
      <c r="D210" s="541" t="s">
        <v>705</v>
      </c>
      <c r="E210" s="611" t="s">
        <v>60</v>
      </c>
      <c r="F210" s="518"/>
      <c r="G210" s="612"/>
      <c r="H210" s="520"/>
      <c r="I210" s="612"/>
      <c r="J210" s="520"/>
      <c r="K210" s="612"/>
      <c r="L210" s="613"/>
      <c r="M210" s="614"/>
    </row>
    <row r="211" spans="1:13" s="45" customFormat="1" ht="36" customHeight="1">
      <c r="A211" s="255"/>
      <c r="B211" s="546"/>
      <c r="C211" s="1157"/>
      <c r="D211" s="541" t="s">
        <v>705</v>
      </c>
      <c r="E211" s="611" t="s">
        <v>61</v>
      </c>
      <c r="F211" s="615"/>
      <c r="G211" s="616"/>
      <c r="H211" s="617"/>
      <c r="I211" s="616"/>
      <c r="J211" s="617"/>
      <c r="K211" s="616"/>
      <c r="L211" s="613"/>
      <c r="M211" s="618"/>
    </row>
    <row r="212" spans="1:13" s="45" customFormat="1" ht="33.75" customHeight="1">
      <c r="A212" s="255"/>
      <c r="B212" s="619"/>
      <c r="C212" s="1163"/>
      <c r="D212" s="595" t="s">
        <v>705</v>
      </c>
      <c r="E212" s="620" t="s">
        <v>62</v>
      </c>
      <c r="F212" s="621"/>
      <c r="G212" s="622"/>
      <c r="H212" s="623"/>
      <c r="I212" s="622"/>
      <c r="J212" s="623"/>
      <c r="K212" s="622"/>
      <c r="L212" s="624"/>
      <c r="M212" s="625"/>
    </row>
    <row r="213" spans="1:190" s="65" customFormat="1" ht="49.5" customHeight="1">
      <c r="A213" s="626">
        <v>6</v>
      </c>
      <c r="B213" s="627">
        <v>752</v>
      </c>
      <c r="C213" s="1185"/>
      <c r="D213" s="628"/>
      <c r="E213" s="629" t="s">
        <v>597</v>
      </c>
      <c r="F213" s="630">
        <f>F214</f>
        <v>0</v>
      </c>
      <c r="G213" s="631">
        <f aca="true" t="shared" si="24" ref="G213:M213">G214</f>
        <v>0</v>
      </c>
      <c r="H213" s="632">
        <f t="shared" si="24"/>
        <v>0</v>
      </c>
      <c r="I213" s="632">
        <f t="shared" si="24"/>
        <v>0</v>
      </c>
      <c r="J213" s="632">
        <f t="shared" si="24"/>
        <v>0</v>
      </c>
      <c r="K213" s="632">
        <f t="shared" si="24"/>
        <v>0</v>
      </c>
      <c r="L213" s="632">
        <f t="shared" si="24"/>
        <v>2000</v>
      </c>
      <c r="M213" s="633">
        <f t="shared" si="24"/>
        <v>2000</v>
      </c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</row>
    <row r="214" spans="1:14" s="40" customFormat="1" ht="44.25" customHeight="1">
      <c r="A214" s="257"/>
      <c r="B214" s="601">
        <v>75212</v>
      </c>
      <c r="C214" s="1184"/>
      <c r="D214" s="602"/>
      <c r="E214" s="603" t="s">
        <v>598</v>
      </c>
      <c r="F214" s="604">
        <f>F215+F216</f>
        <v>0</v>
      </c>
      <c r="G214" s="605">
        <f aca="true" t="shared" si="25" ref="G214:M214">G215+G216</f>
        <v>0</v>
      </c>
      <c r="H214" s="605">
        <f t="shared" si="25"/>
        <v>0</v>
      </c>
      <c r="I214" s="605">
        <f t="shared" si="25"/>
        <v>0</v>
      </c>
      <c r="J214" s="605">
        <f t="shared" si="25"/>
        <v>0</v>
      </c>
      <c r="K214" s="605">
        <f t="shared" si="25"/>
        <v>0</v>
      </c>
      <c r="L214" s="605">
        <f t="shared" si="25"/>
        <v>2000</v>
      </c>
      <c r="M214" s="634">
        <f t="shared" si="25"/>
        <v>2000</v>
      </c>
      <c r="N214" s="40" t="s">
        <v>526</v>
      </c>
    </row>
    <row r="215" spans="1:13" s="45" customFormat="1" ht="60" customHeight="1">
      <c r="A215" s="255"/>
      <c r="B215" s="1257"/>
      <c r="C215" s="1146">
        <v>1</v>
      </c>
      <c r="D215" s="635"/>
      <c r="E215" s="636" t="s">
        <v>599</v>
      </c>
      <c r="F215" s="637"/>
      <c r="G215" s="638"/>
      <c r="H215" s="639"/>
      <c r="I215" s="638"/>
      <c r="J215" s="639"/>
      <c r="K215" s="638"/>
      <c r="L215" s="640">
        <v>1000</v>
      </c>
      <c r="M215" s="641">
        <f>L215</f>
        <v>1000</v>
      </c>
    </row>
    <row r="216" spans="1:13" s="45" customFormat="1" ht="81" customHeight="1">
      <c r="A216" s="255"/>
      <c r="B216" s="1258"/>
      <c r="C216" s="1163">
        <v>2</v>
      </c>
      <c r="D216" s="595"/>
      <c r="E216" s="570" t="s">
        <v>600</v>
      </c>
      <c r="F216" s="621"/>
      <c r="G216" s="622"/>
      <c r="H216" s="623"/>
      <c r="I216" s="622"/>
      <c r="J216" s="623"/>
      <c r="K216" s="622"/>
      <c r="L216" s="642">
        <v>1000</v>
      </c>
      <c r="M216" s="643">
        <f>L216</f>
        <v>1000</v>
      </c>
    </row>
    <row r="217" spans="1:190" s="65" customFormat="1" ht="49.5" customHeight="1">
      <c r="A217" s="626">
        <v>7</v>
      </c>
      <c r="B217" s="627">
        <v>754</v>
      </c>
      <c r="C217" s="1185"/>
      <c r="D217" s="628"/>
      <c r="E217" s="629" t="s">
        <v>739</v>
      </c>
      <c r="F217" s="630">
        <f>F218+F248+F251</f>
        <v>0</v>
      </c>
      <c r="G217" s="631">
        <f aca="true" t="shared" si="26" ref="G217:M217">G218+G248+G251</f>
        <v>0</v>
      </c>
      <c r="H217" s="632">
        <f t="shared" si="26"/>
        <v>0</v>
      </c>
      <c r="I217" s="632">
        <f t="shared" si="26"/>
        <v>0</v>
      </c>
      <c r="J217" s="632">
        <f t="shared" si="26"/>
        <v>0</v>
      </c>
      <c r="K217" s="632">
        <f t="shared" si="26"/>
        <v>0</v>
      </c>
      <c r="L217" s="632">
        <f t="shared" si="26"/>
        <v>620656</v>
      </c>
      <c r="M217" s="633">
        <f t="shared" si="26"/>
        <v>620656</v>
      </c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</row>
    <row r="218" spans="1:190" s="49" customFormat="1" ht="44.25" customHeight="1">
      <c r="A218" s="644"/>
      <c r="B218" s="645">
        <v>75412</v>
      </c>
      <c r="C218" s="1186"/>
      <c r="D218" s="646"/>
      <c r="E218" s="647" t="s">
        <v>601</v>
      </c>
      <c r="F218" s="648">
        <f>F219+F221</f>
        <v>0</v>
      </c>
      <c r="G218" s="649">
        <f aca="true" t="shared" si="27" ref="G218:M218">G219+G221</f>
        <v>0</v>
      </c>
      <c r="H218" s="648">
        <f t="shared" si="27"/>
        <v>0</v>
      </c>
      <c r="I218" s="648">
        <f t="shared" si="27"/>
        <v>0</v>
      </c>
      <c r="J218" s="648">
        <f t="shared" si="27"/>
        <v>0</v>
      </c>
      <c r="K218" s="648">
        <f t="shared" si="27"/>
        <v>0</v>
      </c>
      <c r="L218" s="648">
        <f t="shared" si="27"/>
        <v>237760</v>
      </c>
      <c r="M218" s="648">
        <f t="shared" si="27"/>
        <v>237760</v>
      </c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  <c r="EB218" s="48"/>
      <c r="EC218" s="48"/>
      <c r="ED218" s="48"/>
      <c r="EE218" s="48"/>
      <c r="EF218" s="48"/>
      <c r="EG218" s="48"/>
      <c r="EH218" s="48"/>
      <c r="EI218" s="48"/>
      <c r="EJ218" s="48"/>
      <c r="EK218" s="48"/>
      <c r="EL218" s="48"/>
      <c r="EM218" s="48"/>
      <c r="EN218" s="48"/>
      <c r="EO218" s="48"/>
      <c r="EP218" s="48"/>
      <c r="EQ218" s="48"/>
      <c r="ER218" s="48"/>
      <c r="ES218" s="48"/>
      <c r="ET218" s="48"/>
      <c r="EU218" s="48"/>
      <c r="EV218" s="48"/>
      <c r="EW218" s="48"/>
      <c r="EX218" s="48"/>
      <c r="EY218" s="48"/>
      <c r="EZ218" s="48"/>
      <c r="FA218" s="48"/>
      <c r="FB218" s="48"/>
      <c r="FC218" s="48"/>
      <c r="FD218" s="48"/>
      <c r="FE218" s="48"/>
      <c r="FF218" s="48"/>
      <c r="FG218" s="48"/>
      <c r="FH218" s="48"/>
      <c r="FI218" s="48"/>
      <c r="FJ218" s="48"/>
      <c r="FK218" s="48"/>
      <c r="FL218" s="48"/>
      <c r="FM218" s="48"/>
      <c r="FN218" s="48"/>
      <c r="FO218" s="48"/>
      <c r="FP218" s="48"/>
      <c r="FQ218" s="48"/>
      <c r="FR218" s="48"/>
      <c r="FS218" s="48"/>
      <c r="FT218" s="48"/>
      <c r="FU218" s="48"/>
      <c r="FV218" s="48"/>
      <c r="FW218" s="48"/>
      <c r="FX218" s="48"/>
      <c r="FY218" s="48"/>
      <c r="FZ218" s="48"/>
      <c r="GA218" s="48"/>
      <c r="GB218" s="48"/>
      <c r="GC218" s="48"/>
      <c r="GD218" s="48"/>
      <c r="GE218" s="48"/>
      <c r="GF218" s="48"/>
      <c r="GG218" s="48"/>
      <c r="GH218" s="48"/>
    </row>
    <row r="219" spans="1:14" s="43" customFormat="1" ht="32.25" customHeight="1">
      <c r="A219" s="400"/>
      <c r="B219" s="316"/>
      <c r="C219" s="1157" t="s">
        <v>602</v>
      </c>
      <c r="D219" s="181"/>
      <c r="E219" s="650" t="s">
        <v>69</v>
      </c>
      <c r="F219" s="651"/>
      <c r="G219" s="652"/>
      <c r="H219" s="651"/>
      <c r="I219" s="651"/>
      <c r="J219" s="651"/>
      <c r="K219" s="651"/>
      <c r="L219" s="653">
        <v>20000</v>
      </c>
      <c r="M219" s="654">
        <f>SUM(F219:L219)</f>
        <v>20000</v>
      </c>
      <c r="N219" s="43" t="s">
        <v>526</v>
      </c>
    </row>
    <row r="220" spans="1:13" s="50" customFormat="1" ht="59.25" customHeight="1">
      <c r="A220" s="414"/>
      <c r="B220" s="256"/>
      <c r="C220" s="1157"/>
      <c r="D220" s="258"/>
      <c r="E220" s="512" t="s">
        <v>670</v>
      </c>
      <c r="F220" s="260"/>
      <c r="G220" s="261"/>
      <c r="H220" s="260"/>
      <c r="I220" s="260"/>
      <c r="J220" s="260"/>
      <c r="K220" s="260"/>
      <c r="L220" s="655"/>
      <c r="M220" s="262"/>
    </row>
    <row r="221" spans="1:13" s="43" customFormat="1" ht="32.25" customHeight="1">
      <c r="A221" s="400"/>
      <c r="B221" s="316"/>
      <c r="C221" s="1146" t="s">
        <v>121</v>
      </c>
      <c r="D221" s="656"/>
      <c r="E221" s="657" t="s">
        <v>1022</v>
      </c>
      <c r="F221" s="658"/>
      <c r="G221" s="659"/>
      <c r="H221" s="658"/>
      <c r="I221" s="658"/>
      <c r="J221" s="658"/>
      <c r="K221" s="658"/>
      <c r="L221" s="660">
        <f>L223+L224+L225+L233+L238+L244+L245+L246+L247</f>
        <v>217760</v>
      </c>
      <c r="M221" s="660">
        <f>M223+M224+M225+M233+M238+M244+M245+M246+M247</f>
        <v>217760</v>
      </c>
    </row>
    <row r="222" spans="1:13" s="47" customFormat="1" ht="18.75" customHeight="1">
      <c r="A222" s="400"/>
      <c r="B222" s="256"/>
      <c r="C222" s="1157"/>
      <c r="D222" s="181"/>
      <c r="E222" s="259" t="s">
        <v>706</v>
      </c>
      <c r="F222" s="260"/>
      <c r="G222" s="261"/>
      <c r="H222" s="260"/>
      <c r="I222" s="260"/>
      <c r="J222" s="260"/>
      <c r="K222" s="260"/>
      <c r="L222" s="260"/>
      <c r="M222" s="183"/>
    </row>
    <row r="223" spans="1:14" s="60" customFormat="1" ht="33" customHeight="1">
      <c r="A223" s="445"/>
      <c r="B223" s="272"/>
      <c r="C223" s="1157">
        <v>1</v>
      </c>
      <c r="D223" s="661"/>
      <c r="E223" s="662" t="s">
        <v>671</v>
      </c>
      <c r="F223" s="663"/>
      <c r="G223" s="664"/>
      <c r="H223" s="663"/>
      <c r="I223" s="432"/>
      <c r="J223" s="432"/>
      <c r="K223" s="432"/>
      <c r="L223" s="663">
        <v>2500</v>
      </c>
      <c r="M223" s="663">
        <f aca="true" t="shared" si="28" ref="M223:M247">L223</f>
        <v>2500</v>
      </c>
      <c r="N223" s="60" t="s">
        <v>526</v>
      </c>
    </row>
    <row r="224" spans="1:14" s="60" customFormat="1" ht="33.75" customHeight="1">
      <c r="A224" s="445"/>
      <c r="B224" s="272"/>
      <c r="C224" s="1157">
        <v>2</v>
      </c>
      <c r="D224" s="661"/>
      <c r="E224" s="662" t="s">
        <v>672</v>
      </c>
      <c r="F224" s="663"/>
      <c r="G224" s="664"/>
      <c r="H224" s="663"/>
      <c r="I224" s="432"/>
      <c r="J224" s="432"/>
      <c r="K224" s="432"/>
      <c r="L224" s="663">
        <v>18000</v>
      </c>
      <c r="M224" s="663">
        <f t="shared" si="28"/>
        <v>18000</v>
      </c>
      <c r="N224" s="60" t="s">
        <v>526</v>
      </c>
    </row>
    <row r="225" spans="1:14" s="60" customFormat="1" ht="33.75" customHeight="1">
      <c r="A225" s="445"/>
      <c r="B225" s="272"/>
      <c r="C225" s="1157">
        <v>3</v>
      </c>
      <c r="D225" s="661"/>
      <c r="E225" s="662" t="s">
        <v>673</v>
      </c>
      <c r="F225" s="663"/>
      <c r="G225" s="664"/>
      <c r="H225" s="663"/>
      <c r="I225" s="432"/>
      <c r="J225" s="432"/>
      <c r="K225" s="432"/>
      <c r="L225" s="663">
        <f>L226+L227+L228+L229+L230+L231+L232</f>
        <v>76000</v>
      </c>
      <c r="M225" s="663">
        <f t="shared" si="28"/>
        <v>76000</v>
      </c>
      <c r="N225" s="60" t="s">
        <v>526</v>
      </c>
    </row>
    <row r="226" spans="1:13" s="50" customFormat="1" ht="79.5" customHeight="1">
      <c r="A226" s="255"/>
      <c r="B226" s="278"/>
      <c r="C226" s="1157"/>
      <c r="D226" s="279" t="s">
        <v>705</v>
      </c>
      <c r="E226" s="259" t="s">
        <v>716</v>
      </c>
      <c r="F226" s="665"/>
      <c r="G226" s="666"/>
      <c r="H226" s="667"/>
      <c r="I226" s="281"/>
      <c r="J226" s="281"/>
      <c r="K226" s="281"/>
      <c r="L226" s="665">
        <v>30000</v>
      </c>
      <c r="M226" s="665">
        <f t="shared" si="28"/>
        <v>30000</v>
      </c>
    </row>
    <row r="227" spans="1:13" s="50" customFormat="1" ht="33" customHeight="1">
      <c r="A227" s="255"/>
      <c r="B227" s="278"/>
      <c r="C227" s="1157"/>
      <c r="D227" s="279" t="s">
        <v>705</v>
      </c>
      <c r="E227" s="259" t="s">
        <v>70</v>
      </c>
      <c r="F227" s="665"/>
      <c r="G227" s="666"/>
      <c r="H227" s="667"/>
      <c r="I227" s="281"/>
      <c r="J227" s="281"/>
      <c r="K227" s="281"/>
      <c r="L227" s="665">
        <v>7000</v>
      </c>
      <c r="M227" s="665">
        <f t="shared" si="28"/>
        <v>7000</v>
      </c>
    </row>
    <row r="228" spans="1:13" s="50" customFormat="1" ht="33" customHeight="1">
      <c r="A228" s="255"/>
      <c r="B228" s="278"/>
      <c r="C228" s="1157"/>
      <c r="D228" s="279" t="s">
        <v>705</v>
      </c>
      <c r="E228" s="259" t="s">
        <v>71</v>
      </c>
      <c r="F228" s="665"/>
      <c r="G228" s="666"/>
      <c r="H228" s="667"/>
      <c r="I228" s="281"/>
      <c r="J228" s="281"/>
      <c r="K228" s="281"/>
      <c r="L228" s="665">
        <v>18000</v>
      </c>
      <c r="M228" s="665">
        <f t="shared" si="28"/>
        <v>18000</v>
      </c>
    </row>
    <row r="229" spans="1:13" s="50" customFormat="1" ht="34.5" customHeight="1">
      <c r="A229" s="255"/>
      <c r="B229" s="278"/>
      <c r="C229" s="1157"/>
      <c r="D229" s="279" t="s">
        <v>705</v>
      </c>
      <c r="E229" s="259" t="s">
        <v>72</v>
      </c>
      <c r="F229" s="665"/>
      <c r="G229" s="666"/>
      <c r="H229" s="667"/>
      <c r="I229" s="281"/>
      <c r="J229" s="281"/>
      <c r="K229" s="281"/>
      <c r="L229" s="665">
        <v>7000</v>
      </c>
      <c r="M229" s="665">
        <f t="shared" si="28"/>
        <v>7000</v>
      </c>
    </row>
    <row r="230" spans="1:13" s="50" customFormat="1" ht="36" customHeight="1">
      <c r="A230" s="255"/>
      <c r="B230" s="278"/>
      <c r="C230" s="1157"/>
      <c r="D230" s="279" t="s">
        <v>705</v>
      </c>
      <c r="E230" s="259" t="s">
        <v>65</v>
      </c>
      <c r="F230" s="665"/>
      <c r="G230" s="666"/>
      <c r="H230" s="665"/>
      <c r="I230" s="281"/>
      <c r="J230" s="281"/>
      <c r="K230" s="281"/>
      <c r="L230" s="665">
        <v>4000</v>
      </c>
      <c r="M230" s="665">
        <f t="shared" si="28"/>
        <v>4000</v>
      </c>
    </row>
    <row r="231" spans="1:13" s="50" customFormat="1" ht="56.25" customHeight="1">
      <c r="A231" s="668"/>
      <c r="B231" s="278"/>
      <c r="C231" s="1157"/>
      <c r="D231" s="279" t="s">
        <v>705</v>
      </c>
      <c r="E231" s="259" t="s">
        <v>63</v>
      </c>
      <c r="F231" s="665"/>
      <c r="G231" s="666"/>
      <c r="H231" s="665"/>
      <c r="I231" s="281"/>
      <c r="J231" s="281"/>
      <c r="K231" s="281"/>
      <c r="L231" s="665">
        <v>7000</v>
      </c>
      <c r="M231" s="665">
        <f t="shared" si="28"/>
        <v>7000</v>
      </c>
    </row>
    <row r="232" spans="1:13" s="50" customFormat="1" ht="36" customHeight="1">
      <c r="A232" s="668"/>
      <c r="B232" s="278"/>
      <c r="C232" s="1157"/>
      <c r="D232" s="279" t="s">
        <v>705</v>
      </c>
      <c r="E232" s="259" t="s">
        <v>64</v>
      </c>
      <c r="F232" s="665"/>
      <c r="G232" s="666"/>
      <c r="H232" s="665"/>
      <c r="I232" s="281"/>
      <c r="J232" s="281"/>
      <c r="K232" s="281"/>
      <c r="L232" s="665">
        <v>3000</v>
      </c>
      <c r="M232" s="665">
        <f t="shared" si="28"/>
        <v>3000</v>
      </c>
    </row>
    <row r="233" spans="1:14" s="55" customFormat="1" ht="33" customHeight="1">
      <c r="A233" s="669"/>
      <c r="B233" s="243"/>
      <c r="C233" s="1157">
        <v>4</v>
      </c>
      <c r="D233" s="430"/>
      <c r="E233" s="662" t="s">
        <v>674</v>
      </c>
      <c r="F233" s="663"/>
      <c r="G233" s="664"/>
      <c r="H233" s="663"/>
      <c r="I233" s="670"/>
      <c r="J233" s="670"/>
      <c r="K233" s="670"/>
      <c r="L233" s="663">
        <f>SUM(L234:L237)</f>
        <v>33600</v>
      </c>
      <c r="M233" s="663">
        <f>L233</f>
        <v>33600</v>
      </c>
      <c r="N233" s="55" t="s">
        <v>526</v>
      </c>
    </row>
    <row r="234" spans="1:13" s="50" customFormat="1" ht="33" customHeight="1">
      <c r="A234" s="668"/>
      <c r="B234" s="278"/>
      <c r="C234" s="1157"/>
      <c r="D234" s="279" t="s">
        <v>705</v>
      </c>
      <c r="E234" s="259" t="s">
        <v>66</v>
      </c>
      <c r="F234" s="665"/>
      <c r="G234" s="666"/>
      <c r="H234" s="665"/>
      <c r="I234" s="281"/>
      <c r="J234" s="281"/>
      <c r="K234" s="281"/>
      <c r="L234" s="665">
        <v>20000</v>
      </c>
      <c r="M234" s="665">
        <f t="shared" si="28"/>
        <v>20000</v>
      </c>
    </row>
    <row r="235" spans="1:13" s="50" customFormat="1" ht="30.75" customHeight="1">
      <c r="A235" s="668"/>
      <c r="B235" s="278"/>
      <c r="C235" s="1157"/>
      <c r="D235" s="279" t="s">
        <v>705</v>
      </c>
      <c r="E235" s="259" t="s">
        <v>67</v>
      </c>
      <c r="F235" s="665"/>
      <c r="G235" s="666"/>
      <c r="H235" s="665"/>
      <c r="I235" s="281"/>
      <c r="J235" s="281"/>
      <c r="K235" s="281"/>
      <c r="L235" s="665">
        <v>3000</v>
      </c>
      <c r="M235" s="665">
        <f t="shared" si="28"/>
        <v>3000</v>
      </c>
    </row>
    <row r="236" spans="1:13" s="50" customFormat="1" ht="81" customHeight="1">
      <c r="A236" s="668"/>
      <c r="B236" s="278"/>
      <c r="C236" s="1157"/>
      <c r="D236" s="279" t="s">
        <v>705</v>
      </c>
      <c r="E236" s="259" t="s">
        <v>717</v>
      </c>
      <c r="F236" s="665"/>
      <c r="G236" s="666"/>
      <c r="H236" s="665"/>
      <c r="I236" s="281"/>
      <c r="J236" s="281"/>
      <c r="K236" s="281"/>
      <c r="L236" s="665">
        <v>9000</v>
      </c>
      <c r="M236" s="665">
        <f t="shared" si="28"/>
        <v>9000</v>
      </c>
    </row>
    <row r="237" spans="1:13" s="50" customFormat="1" ht="42" customHeight="1">
      <c r="A237" s="668"/>
      <c r="B237" s="278"/>
      <c r="C237" s="1157"/>
      <c r="D237" s="279" t="s">
        <v>705</v>
      </c>
      <c r="E237" s="259" t="s">
        <v>68</v>
      </c>
      <c r="F237" s="665"/>
      <c r="G237" s="666"/>
      <c r="H237" s="665"/>
      <c r="I237" s="281"/>
      <c r="J237" s="281"/>
      <c r="K237" s="281"/>
      <c r="L237" s="665">
        <v>1600</v>
      </c>
      <c r="M237" s="665">
        <f t="shared" si="28"/>
        <v>1600</v>
      </c>
    </row>
    <row r="238" spans="1:14" s="55" customFormat="1" ht="63" customHeight="1">
      <c r="A238" s="669"/>
      <c r="B238" s="243"/>
      <c r="C238" s="1157">
        <v>5</v>
      </c>
      <c r="D238" s="430"/>
      <c r="E238" s="662" t="s">
        <v>675</v>
      </c>
      <c r="F238" s="663"/>
      <c r="G238" s="664"/>
      <c r="H238" s="663"/>
      <c r="I238" s="670"/>
      <c r="J238" s="670"/>
      <c r="K238" s="670"/>
      <c r="L238" s="663">
        <f>L239+L240+L241+L242+L243</f>
        <v>18660</v>
      </c>
      <c r="M238" s="663">
        <f t="shared" si="28"/>
        <v>18660</v>
      </c>
      <c r="N238" s="55" t="s">
        <v>526</v>
      </c>
    </row>
    <row r="239" spans="1:13" s="50" customFormat="1" ht="33" customHeight="1">
      <c r="A239" s="668"/>
      <c r="B239" s="278"/>
      <c r="C239" s="1157"/>
      <c r="D239" s="279" t="s">
        <v>705</v>
      </c>
      <c r="E239" s="259" t="s">
        <v>73</v>
      </c>
      <c r="F239" s="665"/>
      <c r="G239" s="666"/>
      <c r="H239" s="665"/>
      <c r="I239" s="281"/>
      <c r="J239" s="281"/>
      <c r="K239" s="281"/>
      <c r="L239" s="665">
        <v>3000</v>
      </c>
      <c r="M239" s="665">
        <f t="shared" si="28"/>
        <v>3000</v>
      </c>
    </row>
    <row r="240" spans="1:13" s="50" customFormat="1" ht="55.5" customHeight="1">
      <c r="A240" s="668"/>
      <c r="B240" s="278"/>
      <c r="C240" s="1157"/>
      <c r="D240" s="279" t="s">
        <v>705</v>
      </c>
      <c r="E240" s="259" t="s">
        <v>550</v>
      </c>
      <c r="F240" s="665"/>
      <c r="G240" s="666"/>
      <c r="H240" s="665"/>
      <c r="I240" s="281"/>
      <c r="J240" s="281"/>
      <c r="K240" s="281"/>
      <c r="L240" s="665">
        <v>4000</v>
      </c>
      <c r="M240" s="665">
        <f t="shared" si="28"/>
        <v>4000</v>
      </c>
    </row>
    <row r="241" spans="1:13" s="50" customFormat="1" ht="58.5" customHeight="1">
      <c r="A241" s="668"/>
      <c r="B241" s="278"/>
      <c r="C241" s="1157"/>
      <c r="D241" s="279" t="s">
        <v>705</v>
      </c>
      <c r="E241" s="259" t="s">
        <v>718</v>
      </c>
      <c r="F241" s="665"/>
      <c r="G241" s="666"/>
      <c r="H241" s="665"/>
      <c r="I241" s="281"/>
      <c r="J241" s="281"/>
      <c r="K241" s="281"/>
      <c r="L241" s="665">
        <v>3660</v>
      </c>
      <c r="M241" s="665">
        <f t="shared" si="28"/>
        <v>3660</v>
      </c>
    </row>
    <row r="242" spans="1:13" s="50" customFormat="1" ht="36" customHeight="1">
      <c r="A242" s="668"/>
      <c r="B242" s="278"/>
      <c r="C242" s="1157"/>
      <c r="D242" s="279" t="s">
        <v>705</v>
      </c>
      <c r="E242" s="259" t="s">
        <v>719</v>
      </c>
      <c r="F242" s="665"/>
      <c r="G242" s="666"/>
      <c r="H242" s="665"/>
      <c r="I242" s="281"/>
      <c r="J242" s="281"/>
      <c r="K242" s="281"/>
      <c r="L242" s="665">
        <v>2500</v>
      </c>
      <c r="M242" s="665">
        <f t="shared" si="28"/>
        <v>2500</v>
      </c>
    </row>
    <row r="243" spans="1:13" s="50" customFormat="1" ht="108.75" customHeight="1">
      <c r="A243" s="668"/>
      <c r="B243" s="278"/>
      <c r="C243" s="1157"/>
      <c r="D243" s="279" t="s">
        <v>705</v>
      </c>
      <c r="E243" s="259" t="s">
        <v>549</v>
      </c>
      <c r="F243" s="665"/>
      <c r="G243" s="666"/>
      <c r="H243" s="665"/>
      <c r="I243" s="281"/>
      <c r="J243" s="281"/>
      <c r="K243" s="281"/>
      <c r="L243" s="665">
        <v>5500</v>
      </c>
      <c r="M243" s="665">
        <f t="shared" si="28"/>
        <v>5500</v>
      </c>
    </row>
    <row r="244" spans="1:14" s="55" customFormat="1" ht="36.75" customHeight="1">
      <c r="A244" s="669"/>
      <c r="B244" s="243"/>
      <c r="C244" s="1157">
        <v>6</v>
      </c>
      <c r="D244" s="430"/>
      <c r="E244" s="662" t="s">
        <v>895</v>
      </c>
      <c r="F244" s="663"/>
      <c r="G244" s="664"/>
      <c r="H244" s="663"/>
      <c r="I244" s="670"/>
      <c r="J244" s="670"/>
      <c r="K244" s="670"/>
      <c r="L244" s="663">
        <v>7000</v>
      </c>
      <c r="M244" s="663">
        <f t="shared" si="28"/>
        <v>7000</v>
      </c>
      <c r="N244" s="55" t="s">
        <v>526</v>
      </c>
    </row>
    <row r="245" spans="1:14" s="55" customFormat="1" ht="56.25" customHeight="1">
      <c r="A245" s="669"/>
      <c r="B245" s="243"/>
      <c r="C245" s="1157">
        <v>7</v>
      </c>
      <c r="D245" s="430"/>
      <c r="E245" s="662" t="s">
        <v>896</v>
      </c>
      <c r="F245" s="663"/>
      <c r="G245" s="664"/>
      <c r="H245" s="663"/>
      <c r="I245" s="670"/>
      <c r="J245" s="670"/>
      <c r="K245" s="670"/>
      <c r="L245" s="663">
        <v>15000</v>
      </c>
      <c r="M245" s="663">
        <f t="shared" si="28"/>
        <v>15000</v>
      </c>
      <c r="N245" s="55" t="s">
        <v>526</v>
      </c>
    </row>
    <row r="246" spans="1:14" s="55" customFormat="1" ht="74.25" customHeight="1">
      <c r="A246" s="669"/>
      <c r="B246" s="243"/>
      <c r="C246" s="1157">
        <v>8</v>
      </c>
      <c r="D246" s="430"/>
      <c r="E246" s="662" t="s">
        <v>514</v>
      </c>
      <c r="F246" s="663"/>
      <c r="G246" s="664"/>
      <c r="H246" s="663"/>
      <c r="I246" s="670"/>
      <c r="J246" s="670"/>
      <c r="K246" s="670"/>
      <c r="L246" s="663">
        <v>45000</v>
      </c>
      <c r="M246" s="663">
        <f t="shared" si="28"/>
        <v>45000</v>
      </c>
      <c r="N246" s="55" t="s">
        <v>526</v>
      </c>
    </row>
    <row r="247" spans="1:13" s="55" customFormat="1" ht="39.75" customHeight="1">
      <c r="A247" s="669"/>
      <c r="B247" s="671"/>
      <c r="C247" s="1147">
        <v>9</v>
      </c>
      <c r="D247" s="672"/>
      <c r="E247" s="673" t="s">
        <v>897</v>
      </c>
      <c r="F247" s="674"/>
      <c r="G247" s="675"/>
      <c r="H247" s="674"/>
      <c r="I247" s="676"/>
      <c r="J247" s="676"/>
      <c r="K247" s="676"/>
      <c r="L247" s="674">
        <v>2000</v>
      </c>
      <c r="M247" s="674">
        <f t="shared" si="28"/>
        <v>2000</v>
      </c>
    </row>
    <row r="248" spans="1:42" s="63" customFormat="1" ht="43.5" customHeight="1">
      <c r="A248" s="677"/>
      <c r="B248" s="678">
        <v>75414</v>
      </c>
      <c r="C248" s="1187"/>
      <c r="D248" s="679"/>
      <c r="E248" s="680" t="s">
        <v>901</v>
      </c>
      <c r="F248" s="681">
        <f>F249+F250</f>
        <v>0</v>
      </c>
      <c r="G248" s="682">
        <f aca="true" t="shared" si="29" ref="G248:M248">G249+G250</f>
        <v>0</v>
      </c>
      <c r="H248" s="683">
        <f t="shared" si="29"/>
        <v>0</v>
      </c>
      <c r="I248" s="683">
        <f t="shared" si="29"/>
        <v>0</v>
      </c>
      <c r="J248" s="683">
        <f t="shared" si="29"/>
        <v>0</v>
      </c>
      <c r="K248" s="683">
        <f t="shared" si="29"/>
        <v>0</v>
      </c>
      <c r="L248" s="683">
        <f t="shared" si="29"/>
        <v>600</v>
      </c>
      <c r="M248" s="684">
        <f t="shared" si="29"/>
        <v>600</v>
      </c>
      <c r="N248" s="7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</row>
    <row r="249" spans="1:14" s="47" customFormat="1" ht="39.75" customHeight="1">
      <c r="A249" s="420"/>
      <c r="B249" s="685"/>
      <c r="C249" s="1157">
        <v>1</v>
      </c>
      <c r="D249" s="437"/>
      <c r="E249" s="182" t="s">
        <v>76</v>
      </c>
      <c r="F249" s="686"/>
      <c r="G249" s="687"/>
      <c r="H249" s="688"/>
      <c r="I249" s="689"/>
      <c r="J249" s="689"/>
      <c r="K249" s="689"/>
      <c r="L249" s="688">
        <v>100</v>
      </c>
      <c r="M249" s="690">
        <f>L249</f>
        <v>100</v>
      </c>
      <c r="N249" s="47" t="s">
        <v>526</v>
      </c>
    </row>
    <row r="250" spans="1:14" s="47" customFormat="1" ht="39.75" customHeight="1">
      <c r="A250" s="420"/>
      <c r="B250" s="691"/>
      <c r="C250" s="1157">
        <v>2</v>
      </c>
      <c r="D250" s="437"/>
      <c r="E250" s="182" t="s">
        <v>902</v>
      </c>
      <c r="F250" s="692"/>
      <c r="G250" s="693"/>
      <c r="H250" s="694"/>
      <c r="I250" s="349"/>
      <c r="J250" s="349"/>
      <c r="K250" s="349"/>
      <c r="L250" s="694">
        <v>500</v>
      </c>
      <c r="M250" s="695">
        <f>L250</f>
        <v>500</v>
      </c>
      <c r="N250" s="47" t="s">
        <v>526</v>
      </c>
    </row>
    <row r="251" spans="1:42" s="63" customFormat="1" ht="43.5" customHeight="1">
      <c r="A251" s="696"/>
      <c r="B251" s="697">
        <v>75416</v>
      </c>
      <c r="C251" s="1187"/>
      <c r="D251" s="679"/>
      <c r="E251" s="680" t="s">
        <v>742</v>
      </c>
      <c r="F251" s="681">
        <f>F252+F259+F264+F265+F266+F267</f>
        <v>0</v>
      </c>
      <c r="G251" s="681">
        <f aca="true" t="shared" si="30" ref="G251:M251">G252+G259+G264+G265+G266+G267</f>
        <v>0</v>
      </c>
      <c r="H251" s="681">
        <f t="shared" si="30"/>
        <v>0</v>
      </c>
      <c r="I251" s="681">
        <f t="shared" si="30"/>
        <v>0</v>
      </c>
      <c r="J251" s="681">
        <f t="shared" si="30"/>
        <v>0</v>
      </c>
      <c r="K251" s="681">
        <f t="shared" si="30"/>
        <v>0</v>
      </c>
      <c r="L251" s="681">
        <f t="shared" si="30"/>
        <v>382296</v>
      </c>
      <c r="M251" s="681">
        <f t="shared" si="30"/>
        <v>382296</v>
      </c>
      <c r="N251" s="7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</row>
    <row r="252" spans="1:13" s="66" customFormat="1" ht="45" customHeight="1">
      <c r="A252" s="306"/>
      <c r="B252" s="465"/>
      <c r="C252" s="1172">
        <v>1</v>
      </c>
      <c r="D252" s="458"/>
      <c r="E252" s="662" t="s">
        <v>551</v>
      </c>
      <c r="F252" s="310">
        <f>F255+F256+F257+F258</f>
        <v>0</v>
      </c>
      <c r="G252" s="310">
        <f aca="true" t="shared" si="31" ref="G252:M252">G255+G256+G257+G258</f>
        <v>0</v>
      </c>
      <c r="H252" s="310">
        <f t="shared" si="31"/>
        <v>0</v>
      </c>
      <c r="I252" s="310">
        <f t="shared" si="31"/>
        <v>0</v>
      </c>
      <c r="J252" s="310">
        <f t="shared" si="31"/>
        <v>0</v>
      </c>
      <c r="K252" s="310">
        <f t="shared" si="31"/>
        <v>0</v>
      </c>
      <c r="L252" s="310">
        <f t="shared" si="31"/>
        <v>237796</v>
      </c>
      <c r="M252" s="310">
        <f t="shared" si="31"/>
        <v>237796</v>
      </c>
    </row>
    <row r="253" spans="1:13" s="6" customFormat="1" ht="47.25" customHeight="1">
      <c r="A253" s="464"/>
      <c r="B253" s="465"/>
      <c r="C253" s="1172"/>
      <c r="D253" s="458"/>
      <c r="E253" s="698" t="s">
        <v>1186</v>
      </c>
      <c r="F253" s="360"/>
      <c r="G253" s="361"/>
      <c r="H253" s="360"/>
      <c r="I253" s="360"/>
      <c r="J253" s="360"/>
      <c r="K253" s="186"/>
      <c r="L253" s="185"/>
      <c r="M253" s="187"/>
    </row>
    <row r="254" spans="1:13" s="6" customFormat="1" ht="33" customHeight="1">
      <c r="A254" s="464"/>
      <c r="B254" s="465"/>
      <c r="C254" s="1172"/>
      <c r="D254" s="458"/>
      <c r="E254" s="698" t="s">
        <v>1187</v>
      </c>
      <c r="F254" s="360"/>
      <c r="G254" s="361"/>
      <c r="H254" s="360"/>
      <c r="I254" s="360"/>
      <c r="J254" s="360"/>
      <c r="K254" s="186"/>
      <c r="L254" s="185"/>
      <c r="M254" s="187"/>
    </row>
    <row r="255" spans="1:14" s="7" customFormat="1" ht="54" customHeight="1">
      <c r="A255" s="464"/>
      <c r="B255" s="465"/>
      <c r="C255" s="1172"/>
      <c r="D255" s="458"/>
      <c r="E255" s="698" t="s">
        <v>540</v>
      </c>
      <c r="F255" s="360"/>
      <c r="G255" s="361"/>
      <c r="H255" s="360"/>
      <c r="I255" s="360"/>
      <c r="J255" s="360"/>
      <c r="K255" s="311"/>
      <c r="L255" s="312">
        <v>187305</v>
      </c>
      <c r="M255" s="313">
        <f>L255</f>
        <v>187305</v>
      </c>
      <c r="N255" s="7" t="s">
        <v>526</v>
      </c>
    </row>
    <row r="256" spans="1:14" s="7" customFormat="1" ht="57" customHeight="1">
      <c r="A256" s="464"/>
      <c r="B256" s="465"/>
      <c r="C256" s="1172"/>
      <c r="D256" s="458"/>
      <c r="E256" s="698" t="s">
        <v>1188</v>
      </c>
      <c r="F256" s="360"/>
      <c r="G256" s="361"/>
      <c r="H256" s="360"/>
      <c r="I256" s="360"/>
      <c r="J256" s="360"/>
      <c r="K256" s="311"/>
      <c r="L256" s="312">
        <v>6120</v>
      </c>
      <c r="M256" s="313">
        <f>L256</f>
        <v>6120</v>
      </c>
      <c r="N256" s="7" t="s">
        <v>526</v>
      </c>
    </row>
    <row r="257" spans="1:14" s="6" customFormat="1" ht="56.25" customHeight="1">
      <c r="A257" s="464"/>
      <c r="B257" s="465"/>
      <c r="C257" s="1172"/>
      <c r="D257" s="458"/>
      <c r="E257" s="698" t="s">
        <v>1189</v>
      </c>
      <c r="F257" s="360"/>
      <c r="G257" s="361"/>
      <c r="H257" s="360"/>
      <c r="I257" s="360"/>
      <c r="J257" s="360"/>
      <c r="K257" s="311"/>
      <c r="L257" s="312">
        <v>38074</v>
      </c>
      <c r="M257" s="313">
        <f>L257</f>
        <v>38074</v>
      </c>
      <c r="N257" s="6" t="s">
        <v>526</v>
      </c>
    </row>
    <row r="258" spans="1:14" s="6" customFormat="1" ht="73.5" customHeight="1">
      <c r="A258" s="464"/>
      <c r="B258" s="465"/>
      <c r="C258" s="1174"/>
      <c r="D258" s="472"/>
      <c r="E258" s="480" t="s">
        <v>539</v>
      </c>
      <c r="F258" s="476"/>
      <c r="G258" s="481"/>
      <c r="H258" s="476"/>
      <c r="I258" s="476"/>
      <c r="J258" s="476"/>
      <c r="K258" s="477"/>
      <c r="L258" s="699">
        <v>6297</v>
      </c>
      <c r="M258" s="479">
        <f>L258</f>
        <v>6297</v>
      </c>
      <c r="N258" s="6" t="s">
        <v>526</v>
      </c>
    </row>
    <row r="259" spans="1:13" s="55" customFormat="1" ht="31.5" customHeight="1">
      <c r="A259" s="700"/>
      <c r="B259" s="701"/>
      <c r="C259" s="1157">
        <v>2</v>
      </c>
      <c r="D259" s="430"/>
      <c r="E259" s="431" t="s">
        <v>755</v>
      </c>
      <c r="F259" s="702"/>
      <c r="G259" s="703"/>
      <c r="H259" s="704"/>
      <c r="I259" s="704"/>
      <c r="J259" s="704"/>
      <c r="K259" s="704"/>
      <c r="L259" s="704">
        <v>73000</v>
      </c>
      <c r="M259" s="705">
        <v>73000</v>
      </c>
    </row>
    <row r="260" spans="1:13" s="45" customFormat="1" ht="35.25" customHeight="1">
      <c r="A260" s="589"/>
      <c r="B260" s="546"/>
      <c r="C260" s="1157"/>
      <c r="D260" s="706"/>
      <c r="E260" s="423" t="s">
        <v>75</v>
      </c>
      <c r="F260" s="283"/>
      <c r="G260" s="707"/>
      <c r="H260" s="708"/>
      <c r="I260" s="708"/>
      <c r="J260" s="708"/>
      <c r="K260" s="708"/>
      <c r="L260" s="708"/>
      <c r="M260" s="709"/>
    </row>
    <row r="261" spans="1:13" s="45" customFormat="1" ht="108.75" customHeight="1">
      <c r="A261" s="589"/>
      <c r="B261" s="546"/>
      <c r="C261" s="1157"/>
      <c r="D261" s="706"/>
      <c r="E261" s="423" t="s">
        <v>74</v>
      </c>
      <c r="F261" s="283"/>
      <c r="G261" s="707"/>
      <c r="H261" s="708"/>
      <c r="I261" s="708"/>
      <c r="J261" s="708"/>
      <c r="K261" s="708"/>
      <c r="L261" s="708"/>
      <c r="M261" s="709"/>
    </row>
    <row r="262" spans="1:13" s="45" customFormat="1" ht="57.75" customHeight="1">
      <c r="A262" s="589"/>
      <c r="B262" s="546"/>
      <c r="C262" s="1157"/>
      <c r="D262" s="706"/>
      <c r="E262" s="423" t="s">
        <v>756</v>
      </c>
      <c r="F262" s="283"/>
      <c r="G262" s="707"/>
      <c r="H262" s="708"/>
      <c r="I262" s="708"/>
      <c r="J262" s="708"/>
      <c r="K262" s="708"/>
      <c r="L262" s="708"/>
      <c r="M262" s="709"/>
    </row>
    <row r="263" spans="1:13" s="45" customFormat="1" ht="33" customHeight="1">
      <c r="A263" s="589"/>
      <c r="B263" s="546"/>
      <c r="C263" s="1157"/>
      <c r="D263" s="706"/>
      <c r="E263" s="423" t="s">
        <v>757</v>
      </c>
      <c r="F263" s="283"/>
      <c r="G263" s="707"/>
      <c r="H263" s="708"/>
      <c r="I263" s="708"/>
      <c r="J263" s="708"/>
      <c r="K263" s="708"/>
      <c r="L263" s="708"/>
      <c r="M263" s="709"/>
    </row>
    <row r="264" spans="1:13" s="61" customFormat="1" ht="55.5" customHeight="1">
      <c r="A264" s="700"/>
      <c r="B264" s="701"/>
      <c r="C264" s="1157">
        <v>3</v>
      </c>
      <c r="D264" s="430"/>
      <c r="E264" s="431" t="s">
        <v>758</v>
      </c>
      <c r="F264" s="702"/>
      <c r="G264" s="703"/>
      <c r="H264" s="704"/>
      <c r="I264" s="704"/>
      <c r="J264" s="704"/>
      <c r="K264" s="704"/>
      <c r="L264" s="704">
        <v>4500</v>
      </c>
      <c r="M264" s="705">
        <v>4500</v>
      </c>
    </row>
    <row r="265" spans="1:13" s="61" customFormat="1" ht="42" customHeight="1">
      <c r="A265" s="700"/>
      <c r="B265" s="701"/>
      <c r="C265" s="1157">
        <v>4</v>
      </c>
      <c r="D265" s="430"/>
      <c r="E265" s="431" t="s">
        <v>759</v>
      </c>
      <c r="F265" s="702"/>
      <c r="G265" s="703"/>
      <c r="H265" s="704"/>
      <c r="I265" s="704"/>
      <c r="J265" s="704"/>
      <c r="K265" s="704"/>
      <c r="L265" s="704">
        <v>50000</v>
      </c>
      <c r="M265" s="705">
        <v>50000</v>
      </c>
    </row>
    <row r="266" spans="1:13" s="55" customFormat="1" ht="57" customHeight="1">
      <c r="A266" s="700"/>
      <c r="B266" s="701"/>
      <c r="C266" s="1157">
        <v>5</v>
      </c>
      <c r="D266" s="430"/>
      <c r="E266" s="431" t="s">
        <v>8</v>
      </c>
      <c r="F266" s="702"/>
      <c r="G266" s="703"/>
      <c r="H266" s="704"/>
      <c r="I266" s="704"/>
      <c r="J266" s="704"/>
      <c r="K266" s="704"/>
      <c r="L266" s="704">
        <v>16000</v>
      </c>
      <c r="M266" s="705">
        <f>L266</f>
        <v>16000</v>
      </c>
    </row>
    <row r="267" spans="1:13" s="61" customFormat="1" ht="44.25" customHeight="1">
      <c r="A267" s="710"/>
      <c r="B267" s="711"/>
      <c r="C267" s="1163">
        <v>6</v>
      </c>
      <c r="D267" s="447"/>
      <c r="E267" s="448" t="s">
        <v>9</v>
      </c>
      <c r="F267" s="712"/>
      <c r="G267" s="713"/>
      <c r="H267" s="714"/>
      <c r="I267" s="714"/>
      <c r="J267" s="714"/>
      <c r="K267" s="714"/>
      <c r="L267" s="714">
        <v>1000</v>
      </c>
      <c r="M267" s="715">
        <f>L267</f>
        <v>1000</v>
      </c>
    </row>
    <row r="268" spans="1:13" s="51" customFormat="1" ht="104.25" customHeight="1">
      <c r="A268" s="716">
        <v>8</v>
      </c>
      <c r="B268" s="152">
        <v>756</v>
      </c>
      <c r="C268" s="1148"/>
      <c r="D268" s="154"/>
      <c r="E268" s="155" t="s">
        <v>903</v>
      </c>
      <c r="F268" s="156">
        <f>F269</f>
        <v>0</v>
      </c>
      <c r="G268" s="157">
        <f aca="true" t="shared" si="32" ref="G268:M268">G269</f>
        <v>0</v>
      </c>
      <c r="H268" s="157">
        <f t="shared" si="32"/>
        <v>0</v>
      </c>
      <c r="I268" s="157">
        <f t="shared" si="32"/>
        <v>0</v>
      </c>
      <c r="J268" s="157">
        <f t="shared" si="32"/>
        <v>0</v>
      </c>
      <c r="K268" s="157">
        <f t="shared" si="32"/>
        <v>0</v>
      </c>
      <c r="L268" s="157">
        <f t="shared" si="32"/>
        <v>338000</v>
      </c>
      <c r="M268" s="157">
        <f t="shared" si="32"/>
        <v>338000</v>
      </c>
    </row>
    <row r="269" spans="1:13" s="47" customFormat="1" ht="45" customHeight="1">
      <c r="A269" s="717"/>
      <c r="B269" s="305">
        <v>75647</v>
      </c>
      <c r="C269" s="1170"/>
      <c r="D269" s="718"/>
      <c r="E269" s="719" t="s">
        <v>904</v>
      </c>
      <c r="F269" s="720">
        <f>SUM(F270:F274)</f>
        <v>0</v>
      </c>
      <c r="G269" s="721">
        <f aca="true" t="shared" si="33" ref="G269:M269">SUM(G270:G274)</f>
        <v>0</v>
      </c>
      <c r="H269" s="721">
        <f t="shared" si="33"/>
        <v>0</v>
      </c>
      <c r="I269" s="721">
        <f t="shared" si="33"/>
        <v>0</v>
      </c>
      <c r="J269" s="721">
        <f t="shared" si="33"/>
        <v>0</v>
      </c>
      <c r="K269" s="721">
        <f t="shared" si="33"/>
        <v>0</v>
      </c>
      <c r="L269" s="721">
        <f t="shared" si="33"/>
        <v>338000</v>
      </c>
      <c r="M269" s="721">
        <f t="shared" si="33"/>
        <v>338000</v>
      </c>
    </row>
    <row r="270" spans="1:14" s="45" customFormat="1" ht="42.75" customHeight="1">
      <c r="A270" s="173"/>
      <c r="B270" s="180"/>
      <c r="C270" s="1152">
        <v>1</v>
      </c>
      <c r="D270" s="181"/>
      <c r="E270" s="722" t="s">
        <v>905</v>
      </c>
      <c r="F270" s="723"/>
      <c r="G270" s="724"/>
      <c r="H270" s="725"/>
      <c r="I270" s="725"/>
      <c r="J270" s="725"/>
      <c r="K270" s="184"/>
      <c r="L270" s="185">
        <v>70000</v>
      </c>
      <c r="M270" s="726">
        <f aca="true" t="shared" si="34" ref="M270:M279">L270</f>
        <v>70000</v>
      </c>
      <c r="N270" s="45" t="s">
        <v>526</v>
      </c>
    </row>
    <row r="271" spans="1:14" s="45" customFormat="1" ht="57" customHeight="1">
      <c r="A271" s="173"/>
      <c r="B271" s="180"/>
      <c r="C271" s="1188">
        <v>2</v>
      </c>
      <c r="D271" s="727"/>
      <c r="E271" s="728" t="s">
        <v>906</v>
      </c>
      <c r="F271" s="729"/>
      <c r="G271" s="730"/>
      <c r="H271" s="731"/>
      <c r="I271" s="731"/>
      <c r="J271" s="731"/>
      <c r="K271" s="201"/>
      <c r="L271" s="202">
        <v>10000</v>
      </c>
      <c r="M271" s="732">
        <f t="shared" si="34"/>
        <v>10000</v>
      </c>
      <c r="N271" s="45" t="s">
        <v>526</v>
      </c>
    </row>
    <row r="272" spans="1:14" s="45" customFormat="1" ht="65.25" customHeight="1">
      <c r="A272" s="173"/>
      <c r="B272" s="180"/>
      <c r="C272" s="1188">
        <v>3</v>
      </c>
      <c r="D272" s="727"/>
      <c r="E272" s="728" t="s">
        <v>907</v>
      </c>
      <c r="F272" s="729"/>
      <c r="G272" s="730"/>
      <c r="H272" s="731"/>
      <c r="I272" s="731"/>
      <c r="J272" s="731"/>
      <c r="K272" s="201"/>
      <c r="L272" s="202">
        <v>3000</v>
      </c>
      <c r="M272" s="732">
        <f t="shared" si="34"/>
        <v>3000</v>
      </c>
      <c r="N272" s="45" t="s">
        <v>526</v>
      </c>
    </row>
    <row r="273" spans="1:14" s="46" customFormat="1" ht="78.75" customHeight="1">
      <c r="A273" s="173"/>
      <c r="B273" s="180"/>
      <c r="C273" s="1188">
        <v>4</v>
      </c>
      <c r="D273" s="727"/>
      <c r="E273" s="728" t="s">
        <v>908</v>
      </c>
      <c r="F273" s="729"/>
      <c r="G273" s="730"/>
      <c r="H273" s="731"/>
      <c r="I273" s="731"/>
      <c r="J273" s="731"/>
      <c r="K273" s="201"/>
      <c r="L273" s="202">
        <v>5000</v>
      </c>
      <c r="M273" s="732">
        <f t="shared" si="34"/>
        <v>5000</v>
      </c>
      <c r="N273" s="46" t="s">
        <v>526</v>
      </c>
    </row>
    <row r="274" spans="1:14" s="46" customFormat="1" ht="48.75" customHeight="1">
      <c r="A274" s="173"/>
      <c r="B274" s="180"/>
      <c r="C274" s="1152">
        <v>5</v>
      </c>
      <c r="D274" s="181"/>
      <c r="E274" s="722" t="s">
        <v>909</v>
      </c>
      <c r="F274" s="723"/>
      <c r="G274" s="724"/>
      <c r="H274" s="725"/>
      <c r="I274" s="725"/>
      <c r="J274" s="725"/>
      <c r="K274" s="184"/>
      <c r="L274" s="185">
        <v>250000</v>
      </c>
      <c r="M274" s="726">
        <f t="shared" si="34"/>
        <v>250000</v>
      </c>
      <c r="N274" s="46" t="s">
        <v>526</v>
      </c>
    </row>
    <row r="275" spans="1:13" s="2" customFormat="1" ht="45" customHeight="1">
      <c r="A275" s="733">
        <v>9</v>
      </c>
      <c r="B275" s="734">
        <v>757</v>
      </c>
      <c r="C275" s="1189"/>
      <c r="D275" s="153"/>
      <c r="E275" s="151" t="s">
        <v>910</v>
      </c>
      <c r="F275" s="735"/>
      <c r="G275" s="735"/>
      <c r="H275" s="736"/>
      <c r="I275" s="736"/>
      <c r="J275" s="736"/>
      <c r="K275" s="188"/>
      <c r="L275" s="737">
        <f>L276+L278</f>
        <v>450000</v>
      </c>
      <c r="M275" s="738">
        <f t="shared" si="34"/>
        <v>450000</v>
      </c>
    </row>
    <row r="276" spans="1:13" s="2" customFormat="1" ht="45.75" customHeight="1">
      <c r="A276" s="717"/>
      <c r="B276" s="739">
        <v>75702</v>
      </c>
      <c r="C276" s="1190"/>
      <c r="D276" s="718"/>
      <c r="E276" s="719" t="s">
        <v>911</v>
      </c>
      <c r="F276" s="740"/>
      <c r="G276" s="741"/>
      <c r="H276" s="742"/>
      <c r="I276" s="742"/>
      <c r="J276" s="742"/>
      <c r="K276" s="743"/>
      <c r="L276" s="744">
        <f>L277</f>
        <v>400000</v>
      </c>
      <c r="M276" s="745">
        <f t="shared" si="34"/>
        <v>400000</v>
      </c>
    </row>
    <row r="277" spans="1:13" s="3" customFormat="1" ht="43.5" customHeight="1">
      <c r="A277" s="173"/>
      <c r="B277" s="746"/>
      <c r="C277" s="1191">
        <v>1</v>
      </c>
      <c r="D277" s="747"/>
      <c r="E277" s="748" t="s">
        <v>912</v>
      </c>
      <c r="F277" s="474"/>
      <c r="G277" s="475"/>
      <c r="H277" s="474"/>
      <c r="I277" s="474"/>
      <c r="J277" s="474"/>
      <c r="K277" s="749"/>
      <c r="L277" s="699">
        <v>400000</v>
      </c>
      <c r="M277" s="479">
        <f t="shared" si="34"/>
        <v>400000</v>
      </c>
    </row>
    <row r="278" spans="1:13" s="8" customFormat="1" ht="61.5" customHeight="1">
      <c r="A278" s="717"/>
      <c r="B278" s="750">
        <v>75704</v>
      </c>
      <c r="C278" s="1192"/>
      <c r="D278" s="751"/>
      <c r="E278" s="752" t="s">
        <v>913</v>
      </c>
      <c r="F278" s="740"/>
      <c r="G278" s="753"/>
      <c r="H278" s="740"/>
      <c r="I278" s="740"/>
      <c r="J278" s="740"/>
      <c r="K278" s="754"/>
      <c r="L278" s="755">
        <f>+L279</f>
        <v>50000</v>
      </c>
      <c r="M278" s="756">
        <f t="shared" si="34"/>
        <v>50000</v>
      </c>
    </row>
    <row r="279" spans="1:13" s="2" customFormat="1" ht="105.75" customHeight="1">
      <c r="A279" s="173"/>
      <c r="B279" s="746"/>
      <c r="C279" s="1193">
        <v>1</v>
      </c>
      <c r="D279" s="181"/>
      <c r="E279" s="698" t="s">
        <v>914</v>
      </c>
      <c r="F279" s="758"/>
      <c r="G279" s="361"/>
      <c r="H279" s="360"/>
      <c r="I279" s="360"/>
      <c r="J279" s="360"/>
      <c r="K279" s="186"/>
      <c r="L279" s="185">
        <v>50000</v>
      </c>
      <c r="M279" s="187">
        <f t="shared" si="34"/>
        <v>50000</v>
      </c>
    </row>
    <row r="280" spans="1:14" s="75" customFormat="1" ht="42.75" customHeight="1">
      <c r="A280" s="759">
        <v>10</v>
      </c>
      <c r="B280" s="734" t="s">
        <v>915</v>
      </c>
      <c r="C280" s="1194"/>
      <c r="D280" s="760"/>
      <c r="E280" s="735" t="s">
        <v>916</v>
      </c>
      <c r="F280" s="761">
        <f>F281</f>
        <v>0</v>
      </c>
      <c r="G280" s="761">
        <f aca="true" t="shared" si="35" ref="G280:M280">G281</f>
        <v>0</v>
      </c>
      <c r="H280" s="761">
        <f t="shared" si="35"/>
        <v>0</v>
      </c>
      <c r="I280" s="761">
        <f t="shared" si="35"/>
        <v>0</v>
      </c>
      <c r="J280" s="761">
        <f t="shared" si="35"/>
        <v>0</v>
      </c>
      <c r="K280" s="761">
        <f t="shared" si="35"/>
        <v>0</v>
      </c>
      <c r="L280" s="761">
        <f t="shared" si="35"/>
        <v>404070</v>
      </c>
      <c r="M280" s="738">
        <f t="shared" si="35"/>
        <v>404070</v>
      </c>
      <c r="N280" s="75" t="s">
        <v>526</v>
      </c>
    </row>
    <row r="281" spans="1:14" s="95" customFormat="1" ht="42.75" customHeight="1">
      <c r="A281" s="762"/>
      <c r="B281" s="739" t="s">
        <v>917</v>
      </c>
      <c r="C281" s="1195"/>
      <c r="D281" s="763"/>
      <c r="E281" s="741" t="s">
        <v>918</v>
      </c>
      <c r="F281" s="755">
        <f>F282+F283</f>
        <v>0</v>
      </c>
      <c r="G281" s="755">
        <f aca="true" t="shared" si="36" ref="G281:M281">G282+G283</f>
        <v>0</v>
      </c>
      <c r="H281" s="755">
        <f t="shared" si="36"/>
        <v>0</v>
      </c>
      <c r="I281" s="755">
        <f t="shared" si="36"/>
        <v>0</v>
      </c>
      <c r="J281" s="755">
        <f t="shared" si="36"/>
        <v>0</v>
      </c>
      <c r="K281" s="755">
        <f t="shared" si="36"/>
        <v>0</v>
      </c>
      <c r="L281" s="755">
        <f t="shared" si="36"/>
        <v>404070</v>
      </c>
      <c r="M281" s="756">
        <f t="shared" si="36"/>
        <v>404070</v>
      </c>
      <c r="N281" s="95" t="s">
        <v>526</v>
      </c>
    </row>
    <row r="282" spans="1:14" s="102" customFormat="1" ht="35.25" customHeight="1">
      <c r="A282" s="762"/>
      <c r="B282" s="764"/>
      <c r="C282" s="1196" t="s">
        <v>682</v>
      </c>
      <c r="D282" s="765"/>
      <c r="E282" s="766" t="s">
        <v>919</v>
      </c>
      <c r="F282" s="767"/>
      <c r="G282" s="766"/>
      <c r="H282" s="767"/>
      <c r="I282" s="767"/>
      <c r="J282" s="767"/>
      <c r="K282" s="768"/>
      <c r="L282" s="769">
        <v>300000</v>
      </c>
      <c r="M282" s="770">
        <v>300000</v>
      </c>
      <c r="N282" s="102" t="s">
        <v>596</v>
      </c>
    </row>
    <row r="283" spans="1:13" s="75" customFormat="1" ht="84" customHeight="1">
      <c r="A283" s="762"/>
      <c r="B283" s="764"/>
      <c r="C283" s="1196" t="s">
        <v>700</v>
      </c>
      <c r="D283" s="765"/>
      <c r="E283" s="766" t="s">
        <v>920</v>
      </c>
      <c r="F283" s="771"/>
      <c r="G283" s="766"/>
      <c r="H283" s="767"/>
      <c r="I283" s="767"/>
      <c r="J283" s="767"/>
      <c r="K283" s="772"/>
      <c r="L283" s="769">
        <f>235070-105000-26000</f>
        <v>104070</v>
      </c>
      <c r="M283" s="773">
        <f>L283</f>
        <v>104070</v>
      </c>
    </row>
    <row r="284" spans="1:13" s="46" customFormat="1" ht="48" customHeight="1">
      <c r="A284" s="151">
        <v>11</v>
      </c>
      <c r="B284" s="152">
        <v>801</v>
      </c>
      <c r="C284" s="1148"/>
      <c r="D284" s="154"/>
      <c r="E284" s="155" t="s">
        <v>643</v>
      </c>
      <c r="F284" s="156">
        <f>F285+F336+F339+F354+F386+F394+F396+F400+F403+F406+F409+F422</f>
        <v>0</v>
      </c>
      <c r="G284" s="156">
        <f aca="true" t="shared" si="37" ref="G284:M284">G285+G336+G339+G354+G386+G394+G396+G400+G403+G406+G409+G422</f>
        <v>0</v>
      </c>
      <c r="H284" s="156">
        <f t="shared" si="37"/>
        <v>345001</v>
      </c>
      <c r="I284" s="156">
        <f t="shared" si="37"/>
        <v>0</v>
      </c>
      <c r="J284" s="156">
        <f t="shared" si="37"/>
        <v>0</v>
      </c>
      <c r="K284" s="156">
        <f t="shared" si="37"/>
        <v>0</v>
      </c>
      <c r="L284" s="156">
        <f t="shared" si="37"/>
        <v>24071504</v>
      </c>
      <c r="M284" s="156">
        <f t="shared" si="37"/>
        <v>24416505</v>
      </c>
    </row>
    <row r="285" spans="1:13" s="46" customFormat="1" ht="44.25" customHeight="1">
      <c r="A285" s="158"/>
      <c r="B285" s="189">
        <v>80101</v>
      </c>
      <c r="C285" s="1149"/>
      <c r="D285" s="160"/>
      <c r="E285" s="161" t="s">
        <v>1015</v>
      </c>
      <c r="F285" s="162">
        <f>F286+F334</f>
        <v>0</v>
      </c>
      <c r="G285" s="163">
        <f aca="true" t="shared" si="38" ref="G285:M285">G286+G334</f>
        <v>0</v>
      </c>
      <c r="H285" s="163">
        <f t="shared" si="38"/>
        <v>0</v>
      </c>
      <c r="I285" s="163">
        <f t="shared" si="38"/>
        <v>0</v>
      </c>
      <c r="J285" s="163">
        <f t="shared" si="38"/>
        <v>0</v>
      </c>
      <c r="K285" s="163">
        <f t="shared" si="38"/>
        <v>0</v>
      </c>
      <c r="L285" s="163">
        <f t="shared" si="38"/>
        <v>8943104</v>
      </c>
      <c r="M285" s="190">
        <f t="shared" si="38"/>
        <v>8943104</v>
      </c>
    </row>
    <row r="286" spans="1:13" s="71" customFormat="1" ht="30.75" customHeight="1">
      <c r="A286" s="774"/>
      <c r="B286" s="465"/>
      <c r="C286" s="1197" t="s">
        <v>602</v>
      </c>
      <c r="D286" s="775"/>
      <c r="E286" s="776" t="s">
        <v>1016</v>
      </c>
      <c r="F286" s="460">
        <f>F287+F306+F317+F325</f>
        <v>0</v>
      </c>
      <c r="G286" s="777">
        <f aca="true" t="shared" si="39" ref="G286:M286">G287+G306+G317+G325</f>
        <v>0</v>
      </c>
      <c r="H286" s="460">
        <f t="shared" si="39"/>
        <v>0</v>
      </c>
      <c r="I286" s="460">
        <f t="shared" si="39"/>
        <v>0</v>
      </c>
      <c r="J286" s="460">
        <f t="shared" si="39"/>
        <v>0</v>
      </c>
      <c r="K286" s="460">
        <f t="shared" si="39"/>
        <v>0</v>
      </c>
      <c r="L286" s="460">
        <f t="shared" si="39"/>
        <v>8893104</v>
      </c>
      <c r="M286" s="460">
        <f t="shared" si="39"/>
        <v>8893104</v>
      </c>
    </row>
    <row r="287" spans="1:14" s="4" customFormat="1" ht="32.25" customHeight="1">
      <c r="A287" s="778"/>
      <c r="B287" s="465"/>
      <c r="C287" s="1172" t="s">
        <v>682</v>
      </c>
      <c r="D287" s="458"/>
      <c r="E287" s="779" t="s">
        <v>1017</v>
      </c>
      <c r="F287" s="780"/>
      <c r="G287" s="781"/>
      <c r="H287" s="782"/>
      <c r="I287" s="782"/>
      <c r="J287" s="782"/>
      <c r="K287" s="311"/>
      <c r="L287" s="783">
        <f>3273838+473153</f>
        <v>3746991</v>
      </c>
      <c r="M287" s="784">
        <f>L287</f>
        <v>3746991</v>
      </c>
      <c r="N287" s="4" t="s">
        <v>526</v>
      </c>
    </row>
    <row r="288" spans="1:13" s="9" customFormat="1" ht="25.5" customHeight="1">
      <c r="A288" s="173"/>
      <c r="B288" s="465"/>
      <c r="C288" s="1198"/>
      <c r="D288" s="458"/>
      <c r="E288" s="785" t="s">
        <v>1018</v>
      </c>
      <c r="F288" s="786"/>
      <c r="G288" s="787"/>
      <c r="H288" s="788"/>
      <c r="I288" s="788"/>
      <c r="J288" s="788"/>
      <c r="K288" s="311"/>
      <c r="L288" s="185"/>
      <c r="M288" s="187"/>
    </row>
    <row r="289" spans="1:14" s="10" customFormat="1" ht="33" customHeight="1">
      <c r="A289" s="778"/>
      <c r="B289" s="465"/>
      <c r="C289" s="1198"/>
      <c r="D289" s="789"/>
      <c r="E289" s="790" t="s">
        <v>10</v>
      </c>
      <c r="F289" s="791"/>
      <c r="G289" s="792"/>
      <c r="H289" s="793"/>
      <c r="I289" s="793"/>
      <c r="J289" s="793"/>
      <c r="K289" s="794"/>
      <c r="L289" s="795">
        <f>SUM(L290:L305)</f>
        <v>473153</v>
      </c>
      <c r="M289" s="796">
        <f>SUM(M290:M305)</f>
        <v>473153</v>
      </c>
      <c r="N289" s="10" t="s">
        <v>526</v>
      </c>
    </row>
    <row r="290" spans="1:14" s="13" customFormat="1" ht="44.25" customHeight="1">
      <c r="A290" s="364"/>
      <c r="B290" s="797"/>
      <c r="C290" s="1172"/>
      <c r="D290" s="798" t="s">
        <v>705</v>
      </c>
      <c r="E290" s="785" t="s">
        <v>11</v>
      </c>
      <c r="F290" s="786"/>
      <c r="G290" s="787"/>
      <c r="H290" s="788"/>
      <c r="I290" s="788"/>
      <c r="J290" s="788"/>
      <c r="K290" s="794"/>
      <c r="L290" s="799">
        <v>20563</v>
      </c>
      <c r="M290" s="800">
        <f aca="true" t="shared" si="40" ref="M290:M306">L290</f>
        <v>20563</v>
      </c>
      <c r="N290" s="13" t="s">
        <v>526</v>
      </c>
    </row>
    <row r="291" spans="1:14" s="50" customFormat="1" ht="31.5" customHeight="1">
      <c r="A291" s="801"/>
      <c r="B291" s="802"/>
      <c r="C291" s="1172"/>
      <c r="D291" s="798" t="s">
        <v>705</v>
      </c>
      <c r="E291" s="785" t="s">
        <v>12</v>
      </c>
      <c r="F291" s="803"/>
      <c r="G291" s="794"/>
      <c r="H291" s="804"/>
      <c r="I291" s="804"/>
      <c r="J291" s="804"/>
      <c r="K291" s="805"/>
      <c r="L291" s="806">
        <v>23569</v>
      </c>
      <c r="M291" s="807">
        <f t="shared" si="40"/>
        <v>23569</v>
      </c>
      <c r="N291" s="50" t="s">
        <v>526</v>
      </c>
    </row>
    <row r="292" spans="1:13" s="45" customFormat="1" ht="89.25" customHeight="1">
      <c r="A292" s="801"/>
      <c r="B292" s="802"/>
      <c r="C292" s="1172"/>
      <c r="D292" s="798" t="s">
        <v>705</v>
      </c>
      <c r="E292" s="785" t="s">
        <v>720</v>
      </c>
      <c r="F292" s="803"/>
      <c r="G292" s="794"/>
      <c r="H292" s="804"/>
      <c r="I292" s="804"/>
      <c r="J292" s="804"/>
      <c r="K292" s="805"/>
      <c r="L292" s="806">
        <v>24500</v>
      </c>
      <c r="M292" s="807">
        <f t="shared" si="40"/>
        <v>24500</v>
      </c>
    </row>
    <row r="293" spans="1:13" s="45" customFormat="1" ht="59.25" customHeight="1">
      <c r="A293" s="801"/>
      <c r="B293" s="802"/>
      <c r="C293" s="1172"/>
      <c r="D293" s="798" t="s">
        <v>705</v>
      </c>
      <c r="E293" s="785" t="s">
        <v>13</v>
      </c>
      <c r="F293" s="803"/>
      <c r="G293" s="794"/>
      <c r="H293" s="804"/>
      <c r="I293" s="804"/>
      <c r="J293" s="804"/>
      <c r="K293" s="805"/>
      <c r="L293" s="806">
        <v>97921</v>
      </c>
      <c r="M293" s="807">
        <f t="shared" si="40"/>
        <v>97921</v>
      </c>
    </row>
    <row r="294" spans="1:13" s="45" customFormat="1" ht="54.75" customHeight="1">
      <c r="A294" s="801"/>
      <c r="B294" s="802"/>
      <c r="C294" s="1172"/>
      <c r="D294" s="798" t="s">
        <v>705</v>
      </c>
      <c r="E294" s="785" t="s">
        <v>846</v>
      </c>
      <c r="F294" s="803"/>
      <c r="G294" s="794"/>
      <c r="H294" s="804"/>
      <c r="I294" s="804"/>
      <c r="J294" s="804"/>
      <c r="K294" s="805"/>
      <c r="L294" s="806">
        <v>3500</v>
      </c>
      <c r="M294" s="807">
        <f t="shared" si="40"/>
        <v>3500</v>
      </c>
    </row>
    <row r="295" spans="1:13" s="45" customFormat="1" ht="47.25" customHeight="1">
      <c r="A295" s="801"/>
      <c r="B295" s="802"/>
      <c r="C295" s="1172"/>
      <c r="D295" s="798" t="s">
        <v>705</v>
      </c>
      <c r="E295" s="785" t="s">
        <v>14</v>
      </c>
      <c r="F295" s="803"/>
      <c r="G295" s="794"/>
      <c r="H295" s="804"/>
      <c r="I295" s="804"/>
      <c r="J295" s="804"/>
      <c r="K295" s="805"/>
      <c r="L295" s="806">
        <v>1600</v>
      </c>
      <c r="M295" s="807">
        <f t="shared" si="40"/>
        <v>1600</v>
      </c>
    </row>
    <row r="296" spans="1:13" s="45" customFormat="1" ht="57.75" customHeight="1">
      <c r="A296" s="801"/>
      <c r="B296" s="802"/>
      <c r="C296" s="1172"/>
      <c r="D296" s="798" t="s">
        <v>705</v>
      </c>
      <c r="E296" s="785" t="s">
        <v>15</v>
      </c>
      <c r="F296" s="803"/>
      <c r="G296" s="794"/>
      <c r="H296" s="804"/>
      <c r="I296" s="804"/>
      <c r="J296" s="804"/>
      <c r="K296" s="805"/>
      <c r="L296" s="806">
        <v>60000</v>
      </c>
      <c r="M296" s="807">
        <f t="shared" si="40"/>
        <v>60000</v>
      </c>
    </row>
    <row r="297" spans="1:13" s="45" customFormat="1" ht="57.75" customHeight="1">
      <c r="A297" s="801"/>
      <c r="B297" s="802"/>
      <c r="C297" s="1172"/>
      <c r="D297" s="798" t="s">
        <v>705</v>
      </c>
      <c r="E297" s="785" t="s">
        <v>16</v>
      </c>
      <c r="F297" s="803"/>
      <c r="G297" s="794"/>
      <c r="H297" s="804"/>
      <c r="I297" s="804"/>
      <c r="J297" s="804"/>
      <c r="K297" s="805"/>
      <c r="L297" s="806">
        <v>6000</v>
      </c>
      <c r="M297" s="807">
        <f t="shared" si="40"/>
        <v>6000</v>
      </c>
    </row>
    <row r="298" spans="1:13" s="45" customFormat="1" ht="61.5" customHeight="1">
      <c r="A298" s="801"/>
      <c r="B298" s="802"/>
      <c r="C298" s="1172"/>
      <c r="D298" s="798" t="s">
        <v>705</v>
      </c>
      <c r="E298" s="785" t="s">
        <v>17</v>
      </c>
      <c r="F298" s="803"/>
      <c r="G298" s="794"/>
      <c r="H298" s="804"/>
      <c r="I298" s="804"/>
      <c r="J298" s="804"/>
      <c r="K298" s="805"/>
      <c r="L298" s="806">
        <v>600</v>
      </c>
      <c r="M298" s="807">
        <f t="shared" si="40"/>
        <v>600</v>
      </c>
    </row>
    <row r="299" spans="1:13" s="45" customFormat="1" ht="59.25" customHeight="1">
      <c r="A299" s="801"/>
      <c r="B299" s="802"/>
      <c r="C299" s="1172"/>
      <c r="D299" s="798" t="s">
        <v>705</v>
      </c>
      <c r="E299" s="785" t="s">
        <v>18</v>
      </c>
      <c r="F299" s="803"/>
      <c r="G299" s="794"/>
      <c r="H299" s="804"/>
      <c r="I299" s="804"/>
      <c r="J299" s="804"/>
      <c r="K299" s="805"/>
      <c r="L299" s="806">
        <v>3000</v>
      </c>
      <c r="M299" s="807">
        <f t="shared" si="40"/>
        <v>3000</v>
      </c>
    </row>
    <row r="300" spans="1:13" s="45" customFormat="1" ht="58.5" customHeight="1">
      <c r="A300" s="801"/>
      <c r="B300" s="802"/>
      <c r="C300" s="1172"/>
      <c r="D300" s="798" t="s">
        <v>705</v>
      </c>
      <c r="E300" s="785" t="s">
        <v>844</v>
      </c>
      <c r="F300" s="803"/>
      <c r="G300" s="794"/>
      <c r="H300" s="804"/>
      <c r="I300" s="804"/>
      <c r="J300" s="804"/>
      <c r="K300" s="805"/>
      <c r="L300" s="806">
        <v>50000</v>
      </c>
      <c r="M300" s="807">
        <f t="shared" si="40"/>
        <v>50000</v>
      </c>
    </row>
    <row r="301" spans="1:13" s="45" customFormat="1" ht="58.5" customHeight="1">
      <c r="A301" s="801"/>
      <c r="B301" s="802"/>
      <c r="C301" s="1172"/>
      <c r="D301" s="798" t="s">
        <v>705</v>
      </c>
      <c r="E301" s="785" t="s">
        <v>19</v>
      </c>
      <c r="F301" s="803"/>
      <c r="G301" s="794"/>
      <c r="H301" s="804"/>
      <c r="I301" s="804"/>
      <c r="J301" s="804"/>
      <c r="K301" s="805"/>
      <c r="L301" s="806">
        <v>80000</v>
      </c>
      <c r="M301" s="807">
        <f t="shared" si="40"/>
        <v>80000</v>
      </c>
    </row>
    <row r="302" spans="1:14" s="50" customFormat="1" ht="53.25" customHeight="1">
      <c r="A302" s="801"/>
      <c r="B302" s="802"/>
      <c r="C302" s="1172"/>
      <c r="D302" s="798" t="s">
        <v>705</v>
      </c>
      <c r="E302" s="785" t="s">
        <v>845</v>
      </c>
      <c r="F302" s="803"/>
      <c r="G302" s="794"/>
      <c r="H302" s="804"/>
      <c r="I302" s="804"/>
      <c r="J302" s="804"/>
      <c r="K302" s="805"/>
      <c r="L302" s="806">
        <v>20000</v>
      </c>
      <c r="M302" s="807">
        <f t="shared" si="40"/>
        <v>20000</v>
      </c>
      <c r="N302" s="50" t="s">
        <v>526</v>
      </c>
    </row>
    <row r="303" spans="1:13" s="50" customFormat="1" ht="47.25" customHeight="1">
      <c r="A303" s="801"/>
      <c r="B303" s="802"/>
      <c r="C303" s="1172"/>
      <c r="D303" s="798" t="s">
        <v>705</v>
      </c>
      <c r="E303" s="785" t="s">
        <v>20</v>
      </c>
      <c r="F303" s="803"/>
      <c r="G303" s="794"/>
      <c r="H303" s="804"/>
      <c r="I303" s="804"/>
      <c r="J303" s="804"/>
      <c r="K303" s="805"/>
      <c r="L303" s="806">
        <v>2400</v>
      </c>
      <c r="M303" s="807">
        <f t="shared" si="40"/>
        <v>2400</v>
      </c>
    </row>
    <row r="304" spans="1:13" s="50" customFormat="1" ht="39.75" customHeight="1">
      <c r="A304" s="801"/>
      <c r="B304" s="802"/>
      <c r="C304" s="1172"/>
      <c r="D304" s="798" t="s">
        <v>705</v>
      </c>
      <c r="E304" s="785" t="s">
        <v>21</v>
      </c>
      <c r="F304" s="803"/>
      <c r="G304" s="794"/>
      <c r="H304" s="804"/>
      <c r="I304" s="804"/>
      <c r="J304" s="804"/>
      <c r="K304" s="805"/>
      <c r="L304" s="806">
        <v>34500</v>
      </c>
      <c r="M304" s="807">
        <f t="shared" si="40"/>
        <v>34500</v>
      </c>
    </row>
    <row r="305" spans="1:13" s="50" customFormat="1" ht="57" customHeight="1">
      <c r="A305" s="801"/>
      <c r="B305" s="802"/>
      <c r="C305" s="1172"/>
      <c r="D305" s="798" t="s">
        <v>705</v>
      </c>
      <c r="E305" s="785" t="s">
        <v>22</v>
      </c>
      <c r="F305" s="803"/>
      <c r="G305" s="794"/>
      <c r="H305" s="804"/>
      <c r="I305" s="804"/>
      <c r="J305" s="804"/>
      <c r="K305" s="805"/>
      <c r="L305" s="808">
        <v>45000</v>
      </c>
      <c r="M305" s="809">
        <f t="shared" si="40"/>
        <v>45000</v>
      </c>
    </row>
    <row r="306" spans="1:14" s="10" customFormat="1" ht="31.5" customHeight="1">
      <c r="A306" s="778"/>
      <c r="B306" s="465"/>
      <c r="C306" s="1199" t="s">
        <v>700</v>
      </c>
      <c r="D306" s="810"/>
      <c r="E306" s="811" t="s">
        <v>743</v>
      </c>
      <c r="F306" s="812"/>
      <c r="G306" s="813"/>
      <c r="H306" s="814"/>
      <c r="I306" s="814"/>
      <c r="J306" s="814"/>
      <c r="K306" s="815"/>
      <c r="L306" s="816">
        <f>3682798+322024</f>
        <v>4004822</v>
      </c>
      <c r="M306" s="817">
        <f t="shared" si="40"/>
        <v>4004822</v>
      </c>
      <c r="N306" s="10" t="s">
        <v>526</v>
      </c>
    </row>
    <row r="307" spans="1:13" s="4" customFormat="1" ht="23.25" customHeight="1">
      <c r="A307" s="778"/>
      <c r="B307" s="465"/>
      <c r="C307" s="1198"/>
      <c r="D307" s="458"/>
      <c r="E307" s="785" t="s">
        <v>1018</v>
      </c>
      <c r="F307" s="786"/>
      <c r="G307" s="787"/>
      <c r="H307" s="788"/>
      <c r="I307" s="788"/>
      <c r="J307" s="788"/>
      <c r="K307" s="311"/>
      <c r="L307" s="783"/>
      <c r="M307" s="818"/>
    </row>
    <row r="308" spans="1:13" s="50" customFormat="1" ht="28.5" customHeight="1">
      <c r="A308" s="801"/>
      <c r="B308" s="802"/>
      <c r="C308" s="1172"/>
      <c r="D308" s="798"/>
      <c r="E308" s="790" t="s">
        <v>530</v>
      </c>
      <c r="F308" s="803"/>
      <c r="G308" s="794"/>
      <c r="H308" s="819"/>
      <c r="I308" s="819"/>
      <c r="J308" s="819"/>
      <c r="K308" s="804"/>
      <c r="L308" s="819">
        <f>SUM(L309:L316)</f>
        <v>322024</v>
      </c>
      <c r="M308" s="820">
        <f>SUM(M309:M316)</f>
        <v>322024</v>
      </c>
    </row>
    <row r="309" spans="1:13" s="50" customFormat="1" ht="37.5" customHeight="1">
      <c r="A309" s="801"/>
      <c r="B309" s="802"/>
      <c r="C309" s="1172"/>
      <c r="D309" s="798" t="s">
        <v>705</v>
      </c>
      <c r="E309" s="785" t="s">
        <v>531</v>
      </c>
      <c r="F309" s="803"/>
      <c r="G309" s="794"/>
      <c r="H309" s="819"/>
      <c r="I309" s="819"/>
      <c r="J309" s="819"/>
      <c r="K309" s="804"/>
      <c r="L309" s="819">
        <v>30000</v>
      </c>
      <c r="M309" s="807">
        <f aca="true" t="shared" si="41" ref="M309:M317">L309</f>
        <v>30000</v>
      </c>
    </row>
    <row r="310" spans="1:13" s="50" customFormat="1" ht="47.25" customHeight="1">
      <c r="A310" s="801"/>
      <c r="B310" s="802"/>
      <c r="C310" s="1172"/>
      <c r="D310" s="798" t="s">
        <v>705</v>
      </c>
      <c r="E310" s="785" t="s">
        <v>532</v>
      </c>
      <c r="F310" s="803"/>
      <c r="G310" s="794"/>
      <c r="H310" s="819"/>
      <c r="I310" s="819"/>
      <c r="J310" s="819"/>
      <c r="K310" s="804"/>
      <c r="L310" s="819">
        <v>8000</v>
      </c>
      <c r="M310" s="807">
        <f t="shared" si="41"/>
        <v>8000</v>
      </c>
    </row>
    <row r="311" spans="1:13" s="50" customFormat="1" ht="40.5" customHeight="1">
      <c r="A311" s="801"/>
      <c r="B311" s="802"/>
      <c r="C311" s="1172"/>
      <c r="D311" s="798" t="s">
        <v>705</v>
      </c>
      <c r="E311" s="785" t="s">
        <v>533</v>
      </c>
      <c r="F311" s="803"/>
      <c r="G311" s="794"/>
      <c r="H311" s="819"/>
      <c r="I311" s="819"/>
      <c r="J311" s="819"/>
      <c r="K311" s="804"/>
      <c r="L311" s="819">
        <v>90000</v>
      </c>
      <c r="M311" s="807">
        <f t="shared" si="41"/>
        <v>90000</v>
      </c>
    </row>
    <row r="312" spans="1:13" s="50" customFormat="1" ht="39" customHeight="1">
      <c r="A312" s="801"/>
      <c r="B312" s="802"/>
      <c r="C312" s="1172"/>
      <c r="D312" s="798" t="s">
        <v>705</v>
      </c>
      <c r="E312" s="785" t="s">
        <v>534</v>
      </c>
      <c r="F312" s="803"/>
      <c r="G312" s="794"/>
      <c r="H312" s="819"/>
      <c r="I312" s="819"/>
      <c r="J312" s="819"/>
      <c r="K312" s="804"/>
      <c r="L312" s="819">
        <v>23000</v>
      </c>
      <c r="M312" s="821">
        <f t="shared" si="41"/>
        <v>23000</v>
      </c>
    </row>
    <row r="313" spans="1:13" s="50" customFormat="1" ht="40.5" customHeight="1">
      <c r="A313" s="801"/>
      <c r="B313" s="802"/>
      <c r="C313" s="1172"/>
      <c r="D313" s="798" t="s">
        <v>705</v>
      </c>
      <c r="E313" s="785" t="s">
        <v>535</v>
      </c>
      <c r="F313" s="803"/>
      <c r="G313" s="794"/>
      <c r="H313" s="819"/>
      <c r="I313" s="819"/>
      <c r="J313" s="819"/>
      <c r="K313" s="804"/>
      <c r="L313" s="819">
        <v>44000</v>
      </c>
      <c r="M313" s="821">
        <f t="shared" si="41"/>
        <v>44000</v>
      </c>
    </row>
    <row r="314" spans="1:13" s="50" customFormat="1" ht="42.75" customHeight="1">
      <c r="A314" s="801"/>
      <c r="B314" s="802"/>
      <c r="C314" s="1172"/>
      <c r="D314" s="798" t="s">
        <v>705</v>
      </c>
      <c r="E314" s="785" t="s">
        <v>536</v>
      </c>
      <c r="F314" s="803"/>
      <c r="G314" s="794"/>
      <c r="H314" s="819"/>
      <c r="I314" s="819"/>
      <c r="J314" s="819"/>
      <c r="K314" s="804"/>
      <c r="L314" s="819">
        <v>17000</v>
      </c>
      <c r="M314" s="821">
        <f t="shared" si="41"/>
        <v>17000</v>
      </c>
    </row>
    <row r="315" spans="1:13" s="50" customFormat="1" ht="41.25" customHeight="1">
      <c r="A315" s="801"/>
      <c r="B315" s="802"/>
      <c r="C315" s="1172"/>
      <c r="D315" s="798" t="s">
        <v>705</v>
      </c>
      <c r="E315" s="785" t="s">
        <v>538</v>
      </c>
      <c r="F315" s="803"/>
      <c r="G315" s="794"/>
      <c r="H315" s="819"/>
      <c r="I315" s="819"/>
      <c r="J315" s="819"/>
      <c r="K315" s="804"/>
      <c r="L315" s="819">
        <v>20000</v>
      </c>
      <c r="M315" s="821">
        <f t="shared" si="41"/>
        <v>20000</v>
      </c>
    </row>
    <row r="316" spans="1:13" s="50" customFormat="1" ht="41.25" customHeight="1">
      <c r="A316" s="801"/>
      <c r="B316" s="802"/>
      <c r="C316" s="1172"/>
      <c r="D316" s="798" t="s">
        <v>705</v>
      </c>
      <c r="E316" s="785" t="s">
        <v>537</v>
      </c>
      <c r="F316" s="803"/>
      <c r="G316" s="794"/>
      <c r="H316" s="819"/>
      <c r="I316" s="819"/>
      <c r="J316" s="819"/>
      <c r="K316" s="822"/>
      <c r="L316" s="819">
        <v>90024</v>
      </c>
      <c r="M316" s="809">
        <f t="shared" si="41"/>
        <v>90024</v>
      </c>
    </row>
    <row r="317" spans="1:14" s="10" customFormat="1" ht="31.5" customHeight="1">
      <c r="A317" s="778"/>
      <c r="B317" s="465"/>
      <c r="C317" s="1199" t="s">
        <v>701</v>
      </c>
      <c r="D317" s="810"/>
      <c r="E317" s="811" t="s">
        <v>32</v>
      </c>
      <c r="F317" s="812"/>
      <c r="G317" s="813"/>
      <c r="H317" s="814"/>
      <c r="I317" s="814"/>
      <c r="J317" s="814"/>
      <c r="K317" s="815"/>
      <c r="L317" s="816">
        <f>483923+L319</f>
        <v>598835</v>
      </c>
      <c r="M317" s="817">
        <f t="shared" si="41"/>
        <v>598835</v>
      </c>
      <c r="N317" s="10" t="s">
        <v>526</v>
      </c>
    </row>
    <row r="318" spans="1:13" s="4" customFormat="1" ht="23.25" customHeight="1">
      <c r="A318" s="778"/>
      <c r="B318" s="465"/>
      <c r="C318" s="1198"/>
      <c r="D318" s="458"/>
      <c r="E318" s="785" t="s">
        <v>1018</v>
      </c>
      <c r="F318" s="786"/>
      <c r="G318" s="787"/>
      <c r="H318" s="788"/>
      <c r="I318" s="788"/>
      <c r="J318" s="788"/>
      <c r="K318" s="311"/>
      <c r="L318" s="783"/>
      <c r="M318" s="818"/>
    </row>
    <row r="319" spans="1:13" s="50" customFormat="1" ht="39" customHeight="1">
      <c r="A319" s="801"/>
      <c r="B319" s="802"/>
      <c r="C319" s="1172"/>
      <c r="D319" s="798"/>
      <c r="E319" s="790" t="s">
        <v>530</v>
      </c>
      <c r="F319" s="803"/>
      <c r="G319" s="794"/>
      <c r="H319" s="819"/>
      <c r="I319" s="819"/>
      <c r="J319" s="819"/>
      <c r="K319" s="804"/>
      <c r="L319" s="819">
        <f>SUM(L320:L324)</f>
        <v>114912</v>
      </c>
      <c r="M319" s="800">
        <f aca="true" t="shared" si="42" ref="M319:M325">L319</f>
        <v>114912</v>
      </c>
    </row>
    <row r="320" spans="1:13" s="50" customFormat="1" ht="53.25" customHeight="1">
      <c r="A320" s="801"/>
      <c r="B320" s="802"/>
      <c r="C320" s="1172"/>
      <c r="D320" s="798" t="s">
        <v>705</v>
      </c>
      <c r="E320" s="785" t="s">
        <v>828</v>
      </c>
      <c r="F320" s="803"/>
      <c r="G320" s="794"/>
      <c r="H320" s="819"/>
      <c r="I320" s="819"/>
      <c r="J320" s="819"/>
      <c r="K320" s="819"/>
      <c r="L320" s="819">
        <v>34912</v>
      </c>
      <c r="M320" s="807">
        <f t="shared" si="42"/>
        <v>34912</v>
      </c>
    </row>
    <row r="321" spans="1:13" s="50" customFormat="1" ht="36.75" customHeight="1">
      <c r="A321" s="801"/>
      <c r="B321" s="802"/>
      <c r="C321" s="1172"/>
      <c r="D321" s="798" t="s">
        <v>705</v>
      </c>
      <c r="E321" s="785" t="s">
        <v>829</v>
      </c>
      <c r="F321" s="803"/>
      <c r="G321" s="794"/>
      <c r="H321" s="819"/>
      <c r="I321" s="819"/>
      <c r="J321" s="819"/>
      <c r="K321" s="819"/>
      <c r="L321" s="819">
        <v>2000</v>
      </c>
      <c r="M321" s="807">
        <f t="shared" si="42"/>
        <v>2000</v>
      </c>
    </row>
    <row r="322" spans="1:13" s="50" customFormat="1" ht="83.25" customHeight="1">
      <c r="A322" s="801"/>
      <c r="B322" s="802"/>
      <c r="C322" s="1172"/>
      <c r="D322" s="798" t="s">
        <v>705</v>
      </c>
      <c r="E322" s="785" t="s">
        <v>830</v>
      </c>
      <c r="F322" s="803"/>
      <c r="G322" s="794"/>
      <c r="H322" s="819"/>
      <c r="I322" s="819"/>
      <c r="J322" s="819"/>
      <c r="K322" s="819"/>
      <c r="L322" s="819">
        <v>29700</v>
      </c>
      <c r="M322" s="807">
        <f t="shared" si="42"/>
        <v>29700</v>
      </c>
    </row>
    <row r="323" spans="1:13" s="50" customFormat="1" ht="35.25" customHeight="1">
      <c r="A323" s="801"/>
      <c r="B323" s="802"/>
      <c r="C323" s="1172"/>
      <c r="D323" s="798" t="s">
        <v>705</v>
      </c>
      <c r="E323" s="785" t="s">
        <v>831</v>
      </c>
      <c r="F323" s="803"/>
      <c r="G323" s="794"/>
      <c r="H323" s="819"/>
      <c r="I323" s="819"/>
      <c r="J323" s="819"/>
      <c r="K323" s="819"/>
      <c r="L323" s="819">
        <v>7990</v>
      </c>
      <c r="M323" s="807">
        <f t="shared" si="42"/>
        <v>7990</v>
      </c>
    </row>
    <row r="324" spans="1:13" s="50" customFormat="1" ht="35.25" customHeight="1">
      <c r="A324" s="801"/>
      <c r="B324" s="802"/>
      <c r="C324" s="1172"/>
      <c r="D324" s="798" t="s">
        <v>705</v>
      </c>
      <c r="E324" s="785" t="s">
        <v>544</v>
      </c>
      <c r="F324" s="803"/>
      <c r="G324" s="794"/>
      <c r="H324" s="819"/>
      <c r="I324" s="819"/>
      <c r="J324" s="819"/>
      <c r="K324" s="819"/>
      <c r="L324" s="819">
        <v>40310</v>
      </c>
      <c r="M324" s="807">
        <f t="shared" si="42"/>
        <v>40310</v>
      </c>
    </row>
    <row r="325" spans="1:14" s="10" customFormat="1" ht="31.5" customHeight="1">
      <c r="A325" s="778"/>
      <c r="B325" s="465"/>
      <c r="C325" s="1199" t="s">
        <v>702</v>
      </c>
      <c r="D325" s="810"/>
      <c r="E325" s="811" t="s">
        <v>33</v>
      </c>
      <c r="F325" s="812"/>
      <c r="G325" s="813"/>
      <c r="H325" s="814"/>
      <c r="I325" s="814"/>
      <c r="J325" s="814"/>
      <c r="K325" s="815"/>
      <c r="L325" s="816">
        <f>485956+56500</f>
        <v>542456</v>
      </c>
      <c r="M325" s="817">
        <f t="shared" si="42"/>
        <v>542456</v>
      </c>
      <c r="N325" s="10" t="s">
        <v>526</v>
      </c>
    </row>
    <row r="326" spans="1:13" s="4" customFormat="1" ht="23.25" customHeight="1">
      <c r="A326" s="778"/>
      <c r="B326" s="465"/>
      <c r="C326" s="1198"/>
      <c r="D326" s="458"/>
      <c r="E326" s="785" t="s">
        <v>1018</v>
      </c>
      <c r="F326" s="786"/>
      <c r="G326" s="787"/>
      <c r="H326" s="788"/>
      <c r="I326" s="788"/>
      <c r="J326" s="788"/>
      <c r="K326" s="311"/>
      <c r="L326" s="783"/>
      <c r="M326" s="818"/>
    </row>
    <row r="327" spans="1:13" s="50" customFormat="1" ht="28.5" customHeight="1">
      <c r="A327" s="801"/>
      <c r="B327" s="802"/>
      <c r="C327" s="1172"/>
      <c r="D327" s="798"/>
      <c r="E327" s="790" t="s">
        <v>530</v>
      </c>
      <c r="F327" s="803"/>
      <c r="G327" s="794"/>
      <c r="H327" s="819"/>
      <c r="I327" s="819"/>
      <c r="J327" s="819"/>
      <c r="K327" s="804"/>
      <c r="L327" s="819">
        <f>SUM(L328:L333)</f>
        <v>56500</v>
      </c>
      <c r="M327" s="800">
        <f aca="true" t="shared" si="43" ref="M327:M333">L327</f>
        <v>56500</v>
      </c>
    </row>
    <row r="328" spans="1:13" s="50" customFormat="1" ht="33.75" customHeight="1">
      <c r="A328" s="801"/>
      <c r="B328" s="802"/>
      <c r="C328" s="1172"/>
      <c r="D328" s="798" t="s">
        <v>705</v>
      </c>
      <c r="E328" s="785" t="s">
        <v>838</v>
      </c>
      <c r="F328" s="803"/>
      <c r="G328" s="794"/>
      <c r="H328" s="819"/>
      <c r="I328" s="819"/>
      <c r="J328" s="819"/>
      <c r="K328" s="819"/>
      <c r="L328" s="819">
        <v>6500</v>
      </c>
      <c r="M328" s="807">
        <f t="shared" si="43"/>
        <v>6500</v>
      </c>
    </row>
    <row r="329" spans="1:13" s="50" customFormat="1" ht="33" customHeight="1">
      <c r="A329" s="801"/>
      <c r="B329" s="802"/>
      <c r="C329" s="1172"/>
      <c r="D329" s="798" t="s">
        <v>705</v>
      </c>
      <c r="E329" s="785" t="s">
        <v>839</v>
      </c>
      <c r="F329" s="803"/>
      <c r="G329" s="794"/>
      <c r="H329" s="819"/>
      <c r="I329" s="819"/>
      <c r="J329" s="819"/>
      <c r="K329" s="819"/>
      <c r="L329" s="819">
        <v>6000</v>
      </c>
      <c r="M329" s="807">
        <f t="shared" si="43"/>
        <v>6000</v>
      </c>
    </row>
    <row r="330" spans="1:13" s="50" customFormat="1" ht="35.25" customHeight="1">
      <c r="A330" s="801"/>
      <c r="B330" s="802"/>
      <c r="C330" s="1172"/>
      <c r="D330" s="798" t="s">
        <v>705</v>
      </c>
      <c r="E330" s="785" t="s">
        <v>840</v>
      </c>
      <c r="F330" s="803"/>
      <c r="G330" s="794"/>
      <c r="H330" s="819"/>
      <c r="I330" s="819"/>
      <c r="J330" s="819"/>
      <c r="K330" s="819"/>
      <c r="L330" s="819">
        <v>2000</v>
      </c>
      <c r="M330" s="807">
        <f t="shared" si="43"/>
        <v>2000</v>
      </c>
    </row>
    <row r="331" spans="1:13" s="50" customFormat="1" ht="36" customHeight="1">
      <c r="A331" s="801"/>
      <c r="B331" s="802"/>
      <c r="C331" s="1172"/>
      <c r="D331" s="798" t="s">
        <v>705</v>
      </c>
      <c r="E331" s="785" t="s">
        <v>841</v>
      </c>
      <c r="F331" s="803"/>
      <c r="G331" s="794"/>
      <c r="H331" s="819"/>
      <c r="I331" s="819"/>
      <c r="J331" s="819"/>
      <c r="K331" s="819"/>
      <c r="L331" s="819">
        <v>15000</v>
      </c>
      <c r="M331" s="807">
        <f t="shared" si="43"/>
        <v>15000</v>
      </c>
    </row>
    <row r="332" spans="1:13" s="50" customFormat="1" ht="33.75" customHeight="1">
      <c r="A332" s="801"/>
      <c r="B332" s="802"/>
      <c r="C332" s="1172"/>
      <c r="D332" s="798" t="s">
        <v>705</v>
      </c>
      <c r="E332" s="785" t="s">
        <v>842</v>
      </c>
      <c r="F332" s="803"/>
      <c r="G332" s="794"/>
      <c r="H332" s="819"/>
      <c r="I332" s="819"/>
      <c r="J332" s="819"/>
      <c r="K332" s="819"/>
      <c r="L332" s="819">
        <v>25000</v>
      </c>
      <c r="M332" s="821">
        <f t="shared" si="43"/>
        <v>25000</v>
      </c>
    </row>
    <row r="333" spans="1:13" s="50" customFormat="1" ht="36" customHeight="1">
      <c r="A333" s="801"/>
      <c r="B333" s="802"/>
      <c r="C333" s="1172"/>
      <c r="D333" s="798" t="s">
        <v>705</v>
      </c>
      <c r="E333" s="785" t="s">
        <v>843</v>
      </c>
      <c r="F333" s="803"/>
      <c r="G333" s="794"/>
      <c r="H333" s="819"/>
      <c r="I333" s="819"/>
      <c r="J333" s="819"/>
      <c r="K333" s="819"/>
      <c r="L333" s="819">
        <v>2000</v>
      </c>
      <c r="M333" s="809">
        <f t="shared" si="43"/>
        <v>2000</v>
      </c>
    </row>
    <row r="334" spans="1:13" s="114" customFormat="1" ht="47.25" customHeight="1">
      <c r="A334" s="823"/>
      <c r="B334" s="824"/>
      <c r="C334" s="1199" t="s">
        <v>703</v>
      </c>
      <c r="D334" s="825"/>
      <c r="E334" s="811" t="s">
        <v>23</v>
      </c>
      <c r="F334" s="826">
        <f>F335</f>
        <v>0</v>
      </c>
      <c r="G334" s="827">
        <f aca="true" t="shared" si="44" ref="G334:M334">G335</f>
        <v>0</v>
      </c>
      <c r="H334" s="827">
        <f t="shared" si="44"/>
        <v>0</v>
      </c>
      <c r="I334" s="827">
        <f t="shared" si="44"/>
        <v>0</v>
      </c>
      <c r="J334" s="827">
        <f t="shared" si="44"/>
        <v>0</v>
      </c>
      <c r="K334" s="827">
        <f t="shared" si="44"/>
        <v>0</v>
      </c>
      <c r="L334" s="827">
        <f t="shared" si="44"/>
        <v>50000</v>
      </c>
      <c r="M334" s="828">
        <f t="shared" si="44"/>
        <v>50000</v>
      </c>
    </row>
    <row r="335" spans="1:14" s="46" customFormat="1" ht="55.5" customHeight="1">
      <c r="A335" s="829"/>
      <c r="B335" s="830"/>
      <c r="C335" s="1200"/>
      <c r="D335" s="831">
        <v>1</v>
      </c>
      <c r="E335" s="832" t="s">
        <v>77</v>
      </c>
      <c r="F335" s="833"/>
      <c r="G335" s="834"/>
      <c r="H335" s="350"/>
      <c r="I335" s="350"/>
      <c r="J335" s="350"/>
      <c r="K335" s="351"/>
      <c r="L335" s="835">
        <v>50000</v>
      </c>
      <c r="M335" s="836">
        <f>SUM(F335:L335)</f>
        <v>50000</v>
      </c>
      <c r="N335" s="46" t="s">
        <v>526</v>
      </c>
    </row>
    <row r="336" spans="1:13" s="46" customFormat="1" ht="43.5" customHeight="1">
      <c r="A336" s="158"/>
      <c r="B336" s="174">
        <v>80103</v>
      </c>
      <c r="C336" s="1151"/>
      <c r="D336" s="175"/>
      <c r="E336" s="176" t="s">
        <v>847</v>
      </c>
      <c r="F336" s="837">
        <f>F337+F338</f>
        <v>0</v>
      </c>
      <c r="G336" s="838">
        <f aca="true" t="shared" si="45" ref="G336:M336">G337+G338</f>
        <v>0</v>
      </c>
      <c r="H336" s="838">
        <f t="shared" si="45"/>
        <v>0</v>
      </c>
      <c r="I336" s="838">
        <f t="shared" si="45"/>
        <v>0</v>
      </c>
      <c r="J336" s="838">
        <f t="shared" si="45"/>
        <v>0</v>
      </c>
      <c r="K336" s="838">
        <f t="shared" si="45"/>
        <v>0</v>
      </c>
      <c r="L336" s="838">
        <f t="shared" si="45"/>
        <v>100398</v>
      </c>
      <c r="M336" s="839">
        <f t="shared" si="45"/>
        <v>100398</v>
      </c>
    </row>
    <row r="337" spans="1:14" s="10" customFormat="1" ht="31.5" customHeight="1">
      <c r="A337" s="778"/>
      <c r="B337" s="465"/>
      <c r="C337" s="1199" t="s">
        <v>682</v>
      </c>
      <c r="D337" s="810"/>
      <c r="E337" s="811" t="s">
        <v>32</v>
      </c>
      <c r="F337" s="812"/>
      <c r="G337" s="813"/>
      <c r="H337" s="814"/>
      <c r="I337" s="814"/>
      <c r="J337" s="814"/>
      <c r="K337" s="815"/>
      <c r="L337" s="816">
        <v>50760</v>
      </c>
      <c r="M337" s="817">
        <f>L337</f>
        <v>50760</v>
      </c>
      <c r="N337" s="10" t="s">
        <v>526</v>
      </c>
    </row>
    <row r="338" spans="1:14" s="10" customFormat="1" ht="31.5" customHeight="1">
      <c r="A338" s="778"/>
      <c r="B338" s="465"/>
      <c r="C338" s="1201" t="s">
        <v>700</v>
      </c>
      <c r="D338" s="840"/>
      <c r="E338" s="841" t="s">
        <v>33</v>
      </c>
      <c r="F338" s="842"/>
      <c r="G338" s="843"/>
      <c r="H338" s="844"/>
      <c r="I338" s="844"/>
      <c r="J338" s="844"/>
      <c r="K338" s="845"/>
      <c r="L338" s="846">
        <v>49638</v>
      </c>
      <c r="M338" s="847">
        <f>L338</f>
        <v>49638</v>
      </c>
      <c r="N338" s="10" t="s">
        <v>526</v>
      </c>
    </row>
    <row r="339" spans="1:13" s="46" customFormat="1" ht="43.5" customHeight="1">
      <c r="A339" s="158"/>
      <c r="B339" s="174">
        <v>80104</v>
      </c>
      <c r="C339" s="1151"/>
      <c r="D339" s="175"/>
      <c r="E339" s="176" t="s">
        <v>746</v>
      </c>
      <c r="F339" s="837">
        <f>F340</f>
        <v>0</v>
      </c>
      <c r="G339" s="837">
        <f aca="true" t="shared" si="46" ref="G339:M339">G340</f>
        <v>0</v>
      </c>
      <c r="H339" s="837">
        <f t="shared" si="46"/>
        <v>0</v>
      </c>
      <c r="I339" s="837">
        <f t="shared" si="46"/>
        <v>0</v>
      </c>
      <c r="J339" s="837">
        <f t="shared" si="46"/>
        <v>0</v>
      </c>
      <c r="K339" s="837">
        <f t="shared" si="46"/>
        <v>0</v>
      </c>
      <c r="L339" s="837">
        <f t="shared" si="46"/>
        <v>2816010</v>
      </c>
      <c r="M339" s="837">
        <f t="shared" si="46"/>
        <v>2816010</v>
      </c>
    </row>
    <row r="340" spans="1:13" s="10" customFormat="1" ht="31.5" customHeight="1">
      <c r="A340" s="778"/>
      <c r="B340" s="457"/>
      <c r="C340" s="1172" t="s">
        <v>602</v>
      </c>
      <c r="D340" s="458"/>
      <c r="E340" s="848" t="s">
        <v>747</v>
      </c>
      <c r="F340" s="460">
        <f>F341+F345+F349+F353</f>
        <v>0</v>
      </c>
      <c r="G340" s="849">
        <f aca="true" t="shared" si="47" ref="G340:M340">G341+G345+G349+G353</f>
        <v>0</v>
      </c>
      <c r="H340" s="850">
        <f t="shared" si="47"/>
        <v>0</v>
      </c>
      <c r="I340" s="850">
        <f t="shared" si="47"/>
        <v>0</v>
      </c>
      <c r="J340" s="850">
        <f t="shared" si="47"/>
        <v>0</v>
      </c>
      <c r="K340" s="850">
        <f t="shared" si="47"/>
        <v>0</v>
      </c>
      <c r="L340" s="850">
        <f t="shared" si="47"/>
        <v>2816010</v>
      </c>
      <c r="M340" s="460">
        <f t="shared" si="47"/>
        <v>2816010</v>
      </c>
    </row>
    <row r="341" spans="1:13" s="10" customFormat="1" ht="31.5" customHeight="1">
      <c r="A341" s="778"/>
      <c r="B341" s="462"/>
      <c r="C341" s="1172" t="s">
        <v>682</v>
      </c>
      <c r="D341" s="458"/>
      <c r="E341" s="851" t="s">
        <v>748</v>
      </c>
      <c r="F341" s="780"/>
      <c r="G341" s="781"/>
      <c r="H341" s="782"/>
      <c r="I341" s="782"/>
      <c r="J341" s="782"/>
      <c r="K341" s="311"/>
      <c r="L341" s="852">
        <f>577581+18000</f>
        <v>595581</v>
      </c>
      <c r="M341" s="853">
        <f>L341</f>
        <v>595581</v>
      </c>
    </row>
    <row r="342" spans="1:13" s="10" customFormat="1" ht="31.5" customHeight="1">
      <c r="A342" s="778"/>
      <c r="B342" s="462"/>
      <c r="C342" s="1172"/>
      <c r="D342" s="458"/>
      <c r="E342" s="259" t="s">
        <v>749</v>
      </c>
      <c r="F342" s="780"/>
      <c r="G342" s="781"/>
      <c r="H342" s="782"/>
      <c r="I342" s="782"/>
      <c r="J342" s="782"/>
      <c r="K342" s="311"/>
      <c r="L342" s="783">
        <f>L343+L344</f>
        <v>18000</v>
      </c>
      <c r="M342" s="784">
        <f>M343+M344</f>
        <v>18000</v>
      </c>
    </row>
    <row r="343" spans="1:13" s="13" customFormat="1" ht="31.5" customHeight="1">
      <c r="A343" s="364"/>
      <c r="B343" s="854"/>
      <c r="C343" s="1172"/>
      <c r="D343" s="798" t="s">
        <v>705</v>
      </c>
      <c r="E343" s="785" t="s">
        <v>848</v>
      </c>
      <c r="F343" s="786"/>
      <c r="G343" s="787"/>
      <c r="H343" s="788"/>
      <c r="I343" s="788"/>
      <c r="J343" s="788"/>
      <c r="K343" s="855"/>
      <c r="L343" s="804">
        <v>10000</v>
      </c>
      <c r="M343" s="805">
        <f>L343</f>
        <v>10000</v>
      </c>
    </row>
    <row r="344" spans="1:13" s="13" customFormat="1" ht="31.5" customHeight="1">
      <c r="A344" s="364"/>
      <c r="B344" s="854"/>
      <c r="C344" s="1172"/>
      <c r="D344" s="798" t="s">
        <v>705</v>
      </c>
      <c r="E344" s="785" t="s">
        <v>849</v>
      </c>
      <c r="F344" s="786"/>
      <c r="G344" s="787"/>
      <c r="H344" s="788"/>
      <c r="I344" s="788"/>
      <c r="J344" s="788"/>
      <c r="K344" s="855"/>
      <c r="L344" s="804">
        <v>8000</v>
      </c>
      <c r="M344" s="805">
        <f>L344</f>
        <v>8000</v>
      </c>
    </row>
    <row r="345" spans="1:13" s="10" customFormat="1" ht="31.5" customHeight="1">
      <c r="A345" s="778"/>
      <c r="B345" s="462"/>
      <c r="C345" s="1172" t="s">
        <v>700</v>
      </c>
      <c r="D345" s="458"/>
      <c r="E345" s="851" t="s">
        <v>750</v>
      </c>
      <c r="F345" s="780"/>
      <c r="G345" s="781"/>
      <c r="H345" s="782"/>
      <c r="I345" s="782"/>
      <c r="J345" s="782"/>
      <c r="K345" s="311"/>
      <c r="L345" s="852">
        <f>728405+96000</f>
        <v>824405</v>
      </c>
      <c r="M345" s="853">
        <f>L345</f>
        <v>824405</v>
      </c>
    </row>
    <row r="346" spans="1:13" s="10" customFormat="1" ht="31.5" customHeight="1">
      <c r="A346" s="778"/>
      <c r="B346" s="462"/>
      <c r="C346" s="1172"/>
      <c r="D346" s="458"/>
      <c r="E346" s="259" t="s">
        <v>749</v>
      </c>
      <c r="F346" s="780"/>
      <c r="G346" s="781"/>
      <c r="H346" s="782"/>
      <c r="I346" s="782"/>
      <c r="J346" s="782"/>
      <c r="K346" s="311"/>
      <c r="L346" s="783">
        <f>L347+L348</f>
        <v>96000</v>
      </c>
      <c r="M346" s="784">
        <f>M347+M348</f>
        <v>96000</v>
      </c>
    </row>
    <row r="347" spans="1:13" s="13" customFormat="1" ht="31.5" customHeight="1">
      <c r="A347" s="364"/>
      <c r="B347" s="854"/>
      <c r="C347" s="1172"/>
      <c r="D347" s="798" t="s">
        <v>705</v>
      </c>
      <c r="E347" s="785" t="s">
        <v>850</v>
      </c>
      <c r="F347" s="786"/>
      <c r="G347" s="787"/>
      <c r="H347" s="788"/>
      <c r="I347" s="788"/>
      <c r="J347" s="788"/>
      <c r="K347" s="855"/>
      <c r="L347" s="804">
        <v>24000</v>
      </c>
      <c r="M347" s="805">
        <f>L347</f>
        <v>24000</v>
      </c>
    </row>
    <row r="348" spans="1:13" s="13" customFormat="1" ht="31.5" customHeight="1">
      <c r="A348" s="364"/>
      <c r="B348" s="854"/>
      <c r="C348" s="1172"/>
      <c r="D348" s="798" t="s">
        <v>705</v>
      </c>
      <c r="E348" s="785" t="s">
        <v>851</v>
      </c>
      <c r="F348" s="786"/>
      <c r="G348" s="787"/>
      <c r="H348" s="788"/>
      <c r="I348" s="788"/>
      <c r="J348" s="788"/>
      <c r="K348" s="855"/>
      <c r="L348" s="804">
        <v>72000</v>
      </c>
      <c r="M348" s="805">
        <f>L348</f>
        <v>72000</v>
      </c>
    </row>
    <row r="349" spans="1:13" s="10" customFormat="1" ht="31.5" customHeight="1">
      <c r="A349" s="778"/>
      <c r="B349" s="462"/>
      <c r="C349" s="1172" t="s">
        <v>701</v>
      </c>
      <c r="D349" s="458"/>
      <c r="E349" s="851" t="s">
        <v>751</v>
      </c>
      <c r="F349" s="780"/>
      <c r="G349" s="781"/>
      <c r="H349" s="782"/>
      <c r="I349" s="782"/>
      <c r="J349" s="782"/>
      <c r="K349" s="311"/>
      <c r="L349" s="852">
        <f>639556+113000</f>
        <v>752556</v>
      </c>
      <c r="M349" s="853">
        <f>L349</f>
        <v>752556</v>
      </c>
    </row>
    <row r="350" spans="1:13" s="10" customFormat="1" ht="31.5" customHeight="1">
      <c r="A350" s="778"/>
      <c r="B350" s="462"/>
      <c r="C350" s="1172"/>
      <c r="D350" s="458"/>
      <c r="E350" s="259" t="s">
        <v>749</v>
      </c>
      <c r="F350" s="780"/>
      <c r="G350" s="781"/>
      <c r="H350" s="782"/>
      <c r="I350" s="782"/>
      <c r="J350" s="782"/>
      <c r="K350" s="311"/>
      <c r="L350" s="783">
        <f>L351+L352</f>
        <v>113000</v>
      </c>
      <c r="M350" s="784">
        <f>M351+M352</f>
        <v>113000</v>
      </c>
    </row>
    <row r="351" spans="1:13" s="13" customFormat="1" ht="31.5" customHeight="1">
      <c r="A351" s="364"/>
      <c r="B351" s="854"/>
      <c r="C351" s="1172"/>
      <c r="D351" s="798" t="s">
        <v>705</v>
      </c>
      <c r="E351" s="785" t="s">
        <v>852</v>
      </c>
      <c r="F351" s="786"/>
      <c r="G351" s="787"/>
      <c r="H351" s="788"/>
      <c r="I351" s="788"/>
      <c r="J351" s="788"/>
      <c r="K351" s="855"/>
      <c r="L351" s="804">
        <v>88000</v>
      </c>
      <c r="M351" s="805">
        <f>L351</f>
        <v>88000</v>
      </c>
    </row>
    <row r="352" spans="1:13" s="13" customFormat="1" ht="57.75" customHeight="1">
      <c r="A352" s="364"/>
      <c r="B352" s="854"/>
      <c r="C352" s="1172"/>
      <c r="D352" s="798" t="s">
        <v>705</v>
      </c>
      <c r="E352" s="785" t="s">
        <v>853</v>
      </c>
      <c r="F352" s="786"/>
      <c r="G352" s="787"/>
      <c r="H352" s="788"/>
      <c r="I352" s="788"/>
      <c r="J352" s="788"/>
      <c r="K352" s="855"/>
      <c r="L352" s="804">
        <v>25000</v>
      </c>
      <c r="M352" s="805">
        <f>L352</f>
        <v>25000</v>
      </c>
    </row>
    <row r="353" spans="1:13" s="10" customFormat="1" ht="31.5" customHeight="1">
      <c r="A353" s="778"/>
      <c r="B353" s="856"/>
      <c r="C353" s="1172" t="s">
        <v>702</v>
      </c>
      <c r="D353" s="458"/>
      <c r="E353" s="851" t="s">
        <v>854</v>
      </c>
      <c r="F353" s="780"/>
      <c r="G353" s="781"/>
      <c r="H353" s="782"/>
      <c r="I353" s="782"/>
      <c r="J353" s="782"/>
      <c r="K353" s="311"/>
      <c r="L353" s="852">
        <v>643468</v>
      </c>
      <c r="M353" s="853">
        <f>L353</f>
        <v>643468</v>
      </c>
    </row>
    <row r="354" spans="1:13" s="46" customFormat="1" ht="43.5" customHeight="1">
      <c r="A354" s="304"/>
      <c r="B354" s="174">
        <v>80110</v>
      </c>
      <c r="C354" s="1151"/>
      <c r="D354" s="175"/>
      <c r="E354" s="176" t="s">
        <v>43</v>
      </c>
      <c r="F354" s="837">
        <f>F355+F384</f>
        <v>0</v>
      </c>
      <c r="G354" s="837">
        <f aca="true" t="shared" si="48" ref="G354:M354">G355+G384</f>
        <v>0</v>
      </c>
      <c r="H354" s="837">
        <f t="shared" si="48"/>
        <v>345001</v>
      </c>
      <c r="I354" s="837">
        <f t="shared" si="48"/>
        <v>0</v>
      </c>
      <c r="J354" s="837">
        <f t="shared" si="48"/>
        <v>0</v>
      </c>
      <c r="K354" s="837">
        <f t="shared" si="48"/>
        <v>0</v>
      </c>
      <c r="L354" s="837">
        <f t="shared" si="48"/>
        <v>7228626</v>
      </c>
      <c r="M354" s="837">
        <f t="shared" si="48"/>
        <v>7573627</v>
      </c>
    </row>
    <row r="355" spans="1:13" s="71" customFormat="1" ht="30.75" customHeight="1">
      <c r="A355" s="774"/>
      <c r="B355" s="465"/>
      <c r="C355" s="1197" t="s">
        <v>602</v>
      </c>
      <c r="D355" s="775"/>
      <c r="E355" s="776" t="s">
        <v>1016</v>
      </c>
      <c r="F355" s="460">
        <f>F356+F372</f>
        <v>0</v>
      </c>
      <c r="G355" s="777">
        <f aca="true" t="shared" si="49" ref="G355:M355">G356+G372</f>
        <v>0</v>
      </c>
      <c r="H355" s="460">
        <f t="shared" si="49"/>
        <v>0</v>
      </c>
      <c r="I355" s="460">
        <f t="shared" si="49"/>
        <v>0</v>
      </c>
      <c r="J355" s="460">
        <f t="shared" si="49"/>
        <v>0</v>
      </c>
      <c r="K355" s="460">
        <f t="shared" si="49"/>
        <v>0</v>
      </c>
      <c r="L355" s="460">
        <f t="shared" si="49"/>
        <v>7083626</v>
      </c>
      <c r="M355" s="460">
        <f t="shared" si="49"/>
        <v>7083626</v>
      </c>
    </row>
    <row r="356" spans="1:14" s="4" customFormat="1" ht="32.25" customHeight="1">
      <c r="A356" s="778"/>
      <c r="B356" s="465"/>
      <c r="C356" s="1172" t="s">
        <v>682</v>
      </c>
      <c r="D356" s="458"/>
      <c r="E356" s="779" t="s">
        <v>855</v>
      </c>
      <c r="F356" s="780"/>
      <c r="G356" s="781"/>
      <c r="H356" s="782"/>
      <c r="I356" s="782"/>
      <c r="J356" s="782"/>
      <c r="K356" s="311"/>
      <c r="L356" s="783">
        <f>2515560+L358</f>
        <v>3100716</v>
      </c>
      <c r="M356" s="784">
        <f>L356</f>
        <v>3100716</v>
      </c>
      <c r="N356" s="4" t="s">
        <v>526</v>
      </c>
    </row>
    <row r="357" spans="1:13" s="9" customFormat="1" ht="25.5" customHeight="1">
      <c r="A357" s="173"/>
      <c r="B357" s="465"/>
      <c r="C357" s="1198"/>
      <c r="D357" s="458"/>
      <c r="E357" s="785" t="s">
        <v>1018</v>
      </c>
      <c r="F357" s="786"/>
      <c r="G357" s="787"/>
      <c r="H357" s="788"/>
      <c r="I357" s="788"/>
      <c r="J357" s="788"/>
      <c r="K357" s="311"/>
      <c r="L357" s="185"/>
      <c r="M357" s="187"/>
    </row>
    <row r="358" spans="1:14" s="10" customFormat="1" ht="22.5" customHeight="1">
      <c r="A358" s="778"/>
      <c r="B358" s="465"/>
      <c r="C358" s="1198"/>
      <c r="D358" s="789"/>
      <c r="E358" s="790" t="s">
        <v>530</v>
      </c>
      <c r="F358" s="791"/>
      <c r="G358" s="792"/>
      <c r="H358" s="793"/>
      <c r="I358" s="793"/>
      <c r="J358" s="793"/>
      <c r="K358" s="794"/>
      <c r="L358" s="795">
        <f>SUM(L359:L371)</f>
        <v>585156</v>
      </c>
      <c r="M358" s="796">
        <f>SUM(M359:M371)</f>
        <v>585156</v>
      </c>
      <c r="N358" s="10" t="s">
        <v>526</v>
      </c>
    </row>
    <row r="359" spans="1:13" s="4" customFormat="1" ht="85.5" customHeight="1">
      <c r="A359" s="173"/>
      <c r="B359" s="483"/>
      <c r="C359" s="1198"/>
      <c r="D359" s="857" t="s">
        <v>705</v>
      </c>
      <c r="E359" s="785" t="s">
        <v>856</v>
      </c>
      <c r="F359" s="786"/>
      <c r="G359" s="858"/>
      <c r="H359" s="788"/>
      <c r="I359" s="788"/>
      <c r="J359" s="788"/>
      <c r="K359" s="859"/>
      <c r="L359" s="819">
        <v>12000</v>
      </c>
      <c r="M359" s="805">
        <f aca="true" t="shared" si="50" ref="M359:M372">L359</f>
        <v>12000</v>
      </c>
    </row>
    <row r="360" spans="1:13" s="4" customFormat="1" ht="54.75" customHeight="1">
      <c r="A360" s="173"/>
      <c r="B360" s="483"/>
      <c r="C360" s="1198"/>
      <c r="D360" s="857" t="s">
        <v>705</v>
      </c>
      <c r="E360" s="785" t="s">
        <v>857</v>
      </c>
      <c r="F360" s="786"/>
      <c r="G360" s="858"/>
      <c r="H360" s="788"/>
      <c r="I360" s="788"/>
      <c r="J360" s="788"/>
      <c r="K360" s="859"/>
      <c r="L360" s="819">
        <v>45000</v>
      </c>
      <c r="M360" s="805">
        <f t="shared" si="50"/>
        <v>45000</v>
      </c>
    </row>
    <row r="361" spans="1:13" s="4" customFormat="1" ht="48.75" customHeight="1">
      <c r="A361" s="173"/>
      <c r="B361" s="483"/>
      <c r="C361" s="1198"/>
      <c r="D361" s="857" t="s">
        <v>705</v>
      </c>
      <c r="E361" s="785" t="s">
        <v>858</v>
      </c>
      <c r="F361" s="786"/>
      <c r="G361" s="858"/>
      <c r="H361" s="788"/>
      <c r="I361" s="788"/>
      <c r="J361" s="788"/>
      <c r="K361" s="859"/>
      <c r="L361" s="819">
        <v>15000</v>
      </c>
      <c r="M361" s="805">
        <f t="shared" si="50"/>
        <v>15000</v>
      </c>
    </row>
    <row r="362" spans="1:13" s="4" customFormat="1" ht="37.5" customHeight="1">
      <c r="A362" s="173"/>
      <c r="B362" s="483"/>
      <c r="C362" s="1198"/>
      <c r="D362" s="857" t="s">
        <v>705</v>
      </c>
      <c r="E362" s="785" t="s">
        <v>859</v>
      </c>
      <c r="F362" s="786"/>
      <c r="G362" s="858"/>
      <c r="H362" s="788"/>
      <c r="I362" s="788"/>
      <c r="J362" s="788"/>
      <c r="K362" s="859"/>
      <c r="L362" s="819">
        <v>15000</v>
      </c>
      <c r="M362" s="805">
        <f t="shared" si="50"/>
        <v>15000</v>
      </c>
    </row>
    <row r="363" spans="1:13" s="58" customFormat="1" ht="43.5" customHeight="1">
      <c r="A363" s="860"/>
      <c r="B363" s="861"/>
      <c r="C363" s="1172"/>
      <c r="D363" s="798" t="s">
        <v>705</v>
      </c>
      <c r="E363" s="785" t="s">
        <v>860</v>
      </c>
      <c r="F363" s="862"/>
      <c r="G363" s="855"/>
      <c r="H363" s="859"/>
      <c r="I363" s="859"/>
      <c r="J363" s="859"/>
      <c r="K363" s="859"/>
      <c r="L363" s="855">
        <v>16000</v>
      </c>
      <c r="M363" s="863">
        <f t="shared" si="50"/>
        <v>16000</v>
      </c>
    </row>
    <row r="364" spans="1:13" s="58" customFormat="1" ht="60" customHeight="1">
      <c r="A364" s="860"/>
      <c r="B364" s="861"/>
      <c r="C364" s="1172"/>
      <c r="D364" s="798" t="s">
        <v>705</v>
      </c>
      <c r="E364" s="785" t="s">
        <v>556</v>
      </c>
      <c r="F364" s="862"/>
      <c r="G364" s="855"/>
      <c r="H364" s="859"/>
      <c r="I364" s="859"/>
      <c r="J364" s="859"/>
      <c r="K364" s="859"/>
      <c r="L364" s="855">
        <v>8000</v>
      </c>
      <c r="M364" s="863">
        <f t="shared" si="50"/>
        <v>8000</v>
      </c>
    </row>
    <row r="365" spans="1:13" s="58" customFormat="1" ht="54.75" customHeight="1">
      <c r="A365" s="860"/>
      <c r="B365" s="864"/>
      <c r="C365" s="1172"/>
      <c r="D365" s="798" t="s">
        <v>705</v>
      </c>
      <c r="E365" s="785" t="s">
        <v>565</v>
      </c>
      <c r="F365" s="862"/>
      <c r="G365" s="865"/>
      <c r="H365" s="859"/>
      <c r="I365" s="859"/>
      <c r="J365" s="859"/>
      <c r="K365" s="855"/>
      <c r="L365" s="855">
        <v>7242</v>
      </c>
      <c r="M365" s="863">
        <f t="shared" si="50"/>
        <v>7242</v>
      </c>
    </row>
    <row r="366" spans="1:13" s="58" customFormat="1" ht="43.5" customHeight="1">
      <c r="A366" s="860"/>
      <c r="B366" s="864"/>
      <c r="C366" s="1172"/>
      <c r="D366" s="798" t="s">
        <v>705</v>
      </c>
      <c r="E366" s="785" t="s">
        <v>566</v>
      </c>
      <c r="F366" s="862"/>
      <c r="G366" s="865"/>
      <c r="H366" s="859"/>
      <c r="I366" s="859"/>
      <c r="J366" s="859"/>
      <c r="K366" s="855"/>
      <c r="L366" s="855">
        <v>241432</v>
      </c>
      <c r="M366" s="863">
        <f t="shared" si="50"/>
        <v>241432</v>
      </c>
    </row>
    <row r="367" spans="1:13" s="58" customFormat="1" ht="57" customHeight="1">
      <c r="A367" s="860"/>
      <c r="B367" s="864"/>
      <c r="C367" s="1172"/>
      <c r="D367" s="798" t="s">
        <v>705</v>
      </c>
      <c r="E367" s="785" t="s">
        <v>567</v>
      </c>
      <c r="F367" s="862"/>
      <c r="G367" s="865"/>
      <c r="H367" s="859"/>
      <c r="I367" s="859"/>
      <c r="J367" s="859"/>
      <c r="K367" s="855"/>
      <c r="L367" s="855">
        <v>6043</v>
      </c>
      <c r="M367" s="863">
        <f t="shared" si="50"/>
        <v>6043</v>
      </c>
    </row>
    <row r="368" spans="1:13" s="58" customFormat="1" ht="43.5" customHeight="1">
      <c r="A368" s="860"/>
      <c r="B368" s="864"/>
      <c r="C368" s="1172"/>
      <c r="D368" s="798" t="s">
        <v>705</v>
      </c>
      <c r="E368" s="785" t="s">
        <v>568</v>
      </c>
      <c r="F368" s="862"/>
      <c r="G368" s="865"/>
      <c r="H368" s="859"/>
      <c r="I368" s="859"/>
      <c r="J368" s="859"/>
      <c r="K368" s="855"/>
      <c r="L368" s="855">
        <v>201439</v>
      </c>
      <c r="M368" s="863">
        <f t="shared" si="50"/>
        <v>201439</v>
      </c>
    </row>
    <row r="369" spans="1:13" s="58" customFormat="1" ht="43.5" customHeight="1">
      <c r="A369" s="860"/>
      <c r="B369" s="864"/>
      <c r="C369" s="1172"/>
      <c r="D369" s="798" t="s">
        <v>705</v>
      </c>
      <c r="E369" s="785" t="s">
        <v>569</v>
      </c>
      <c r="F369" s="862"/>
      <c r="G369" s="865"/>
      <c r="H369" s="859"/>
      <c r="I369" s="859"/>
      <c r="J369" s="859"/>
      <c r="K369" s="855"/>
      <c r="L369" s="855">
        <v>10000</v>
      </c>
      <c r="M369" s="863">
        <f t="shared" si="50"/>
        <v>10000</v>
      </c>
    </row>
    <row r="370" spans="1:13" s="58" customFormat="1" ht="43.5" customHeight="1">
      <c r="A370" s="860"/>
      <c r="B370" s="864"/>
      <c r="C370" s="1172"/>
      <c r="D370" s="798" t="s">
        <v>705</v>
      </c>
      <c r="E370" s="785" t="s">
        <v>570</v>
      </c>
      <c r="F370" s="862"/>
      <c r="G370" s="865"/>
      <c r="H370" s="859"/>
      <c r="I370" s="859"/>
      <c r="J370" s="859"/>
      <c r="K370" s="855"/>
      <c r="L370" s="855">
        <v>4000</v>
      </c>
      <c r="M370" s="863">
        <f t="shared" si="50"/>
        <v>4000</v>
      </c>
    </row>
    <row r="371" spans="1:13" s="58" customFormat="1" ht="43.5" customHeight="1">
      <c r="A371" s="860"/>
      <c r="B371" s="864"/>
      <c r="C371" s="1172"/>
      <c r="D371" s="798" t="s">
        <v>705</v>
      </c>
      <c r="E371" s="785" t="s">
        <v>571</v>
      </c>
      <c r="F371" s="866"/>
      <c r="G371" s="865"/>
      <c r="H371" s="859"/>
      <c r="I371" s="859"/>
      <c r="J371" s="859"/>
      <c r="K371" s="855"/>
      <c r="L371" s="855">
        <v>4000</v>
      </c>
      <c r="M371" s="863">
        <f t="shared" si="50"/>
        <v>4000</v>
      </c>
    </row>
    <row r="372" spans="1:14" s="4" customFormat="1" ht="32.25" customHeight="1">
      <c r="A372" s="778"/>
      <c r="B372" s="465"/>
      <c r="C372" s="1199" t="s">
        <v>700</v>
      </c>
      <c r="D372" s="810"/>
      <c r="E372" s="811" t="s">
        <v>777</v>
      </c>
      <c r="F372" s="867">
        <v>0</v>
      </c>
      <c r="G372" s="868">
        <v>0</v>
      </c>
      <c r="H372" s="869">
        <v>0</v>
      </c>
      <c r="I372" s="869">
        <v>0</v>
      </c>
      <c r="J372" s="869">
        <v>0</v>
      </c>
      <c r="K372" s="815">
        <v>0</v>
      </c>
      <c r="L372" s="816">
        <f>3665660+L374</f>
        <v>3982910</v>
      </c>
      <c r="M372" s="817">
        <f t="shared" si="50"/>
        <v>3982910</v>
      </c>
      <c r="N372" s="4" t="s">
        <v>526</v>
      </c>
    </row>
    <row r="373" spans="1:13" s="9" customFormat="1" ht="25.5" customHeight="1">
      <c r="A373" s="173"/>
      <c r="B373" s="465"/>
      <c r="C373" s="1198"/>
      <c r="D373" s="458"/>
      <c r="E373" s="785" t="s">
        <v>1018</v>
      </c>
      <c r="F373" s="786"/>
      <c r="G373" s="787"/>
      <c r="H373" s="788"/>
      <c r="I373" s="788"/>
      <c r="J373" s="788"/>
      <c r="K373" s="311"/>
      <c r="L373" s="185"/>
      <c r="M373" s="187"/>
    </row>
    <row r="374" spans="1:14" s="10" customFormat="1" ht="22.5" customHeight="1">
      <c r="A374" s="778"/>
      <c r="B374" s="465"/>
      <c r="C374" s="1198"/>
      <c r="D374" s="789"/>
      <c r="E374" s="790" t="s">
        <v>545</v>
      </c>
      <c r="F374" s="791"/>
      <c r="G374" s="792"/>
      <c r="H374" s="793"/>
      <c r="I374" s="793"/>
      <c r="J374" s="793"/>
      <c r="K374" s="794"/>
      <c r="L374" s="795">
        <f>SUM(L375:L383)</f>
        <v>317250</v>
      </c>
      <c r="M374" s="795">
        <f>SUM(M375:M383)</f>
        <v>317250</v>
      </c>
      <c r="N374" s="10" t="s">
        <v>526</v>
      </c>
    </row>
    <row r="375" spans="1:13" s="58" customFormat="1" ht="54" customHeight="1">
      <c r="A375" s="860"/>
      <c r="B375" s="861"/>
      <c r="C375" s="1172"/>
      <c r="D375" s="798" t="s">
        <v>705</v>
      </c>
      <c r="E375" s="785" t="s">
        <v>557</v>
      </c>
      <c r="F375" s="862"/>
      <c r="G375" s="855"/>
      <c r="H375" s="859"/>
      <c r="I375" s="859"/>
      <c r="J375" s="859"/>
      <c r="K375" s="859"/>
      <c r="L375" s="855">
        <v>30000</v>
      </c>
      <c r="M375" s="863">
        <f aca="true" t="shared" si="51" ref="M375:M383">L375</f>
        <v>30000</v>
      </c>
    </row>
    <row r="376" spans="1:13" s="58" customFormat="1" ht="57.75" customHeight="1">
      <c r="A376" s="860"/>
      <c r="B376" s="861"/>
      <c r="C376" s="1172"/>
      <c r="D376" s="798" t="s">
        <v>705</v>
      </c>
      <c r="E376" s="785" t="s">
        <v>558</v>
      </c>
      <c r="F376" s="862"/>
      <c r="G376" s="855"/>
      <c r="H376" s="859"/>
      <c r="I376" s="859"/>
      <c r="J376" s="859"/>
      <c r="K376" s="859"/>
      <c r="L376" s="855">
        <v>50000</v>
      </c>
      <c r="M376" s="863">
        <f t="shared" si="51"/>
        <v>50000</v>
      </c>
    </row>
    <row r="377" spans="1:13" s="58" customFormat="1" ht="43.5" customHeight="1">
      <c r="A377" s="860"/>
      <c r="B377" s="861"/>
      <c r="C377" s="1172"/>
      <c r="D377" s="798" t="s">
        <v>705</v>
      </c>
      <c r="E377" s="785" t="s">
        <v>559</v>
      </c>
      <c r="F377" s="862"/>
      <c r="G377" s="855"/>
      <c r="H377" s="859"/>
      <c r="I377" s="859"/>
      <c r="J377" s="859"/>
      <c r="K377" s="859"/>
      <c r="L377" s="855">
        <v>37500</v>
      </c>
      <c r="M377" s="863">
        <f t="shared" si="51"/>
        <v>37500</v>
      </c>
    </row>
    <row r="378" spans="1:13" s="58" customFormat="1" ht="43.5" customHeight="1">
      <c r="A378" s="860"/>
      <c r="B378" s="861"/>
      <c r="C378" s="1172"/>
      <c r="D378" s="798" t="s">
        <v>705</v>
      </c>
      <c r="E378" s="785" t="s">
        <v>560</v>
      </c>
      <c r="F378" s="862"/>
      <c r="G378" s="855"/>
      <c r="H378" s="859"/>
      <c r="I378" s="859"/>
      <c r="J378" s="859"/>
      <c r="K378" s="859"/>
      <c r="L378" s="855">
        <v>25000</v>
      </c>
      <c r="M378" s="863">
        <f t="shared" si="51"/>
        <v>25000</v>
      </c>
    </row>
    <row r="379" spans="1:13" s="58" customFormat="1" ht="43.5" customHeight="1">
      <c r="A379" s="860"/>
      <c r="B379" s="861"/>
      <c r="C379" s="1172"/>
      <c r="D379" s="798" t="s">
        <v>705</v>
      </c>
      <c r="E379" s="785" t="s">
        <v>561</v>
      </c>
      <c r="F379" s="862"/>
      <c r="G379" s="855"/>
      <c r="H379" s="859"/>
      <c r="I379" s="859"/>
      <c r="J379" s="859"/>
      <c r="K379" s="859"/>
      <c r="L379" s="855">
        <v>26000</v>
      </c>
      <c r="M379" s="863">
        <f t="shared" si="51"/>
        <v>26000</v>
      </c>
    </row>
    <row r="380" spans="1:13" s="58" customFormat="1" ht="43.5" customHeight="1">
      <c r="A380" s="860"/>
      <c r="B380" s="861"/>
      <c r="C380" s="1172"/>
      <c r="D380" s="798" t="s">
        <v>705</v>
      </c>
      <c r="E380" s="785" t="s">
        <v>562</v>
      </c>
      <c r="F380" s="862"/>
      <c r="G380" s="855"/>
      <c r="H380" s="859"/>
      <c r="I380" s="859"/>
      <c r="J380" s="859"/>
      <c r="K380" s="859"/>
      <c r="L380" s="855">
        <v>24750</v>
      </c>
      <c r="M380" s="863">
        <f t="shared" si="51"/>
        <v>24750</v>
      </c>
    </row>
    <row r="381" spans="1:13" s="56" customFormat="1" ht="43.5" customHeight="1">
      <c r="A381" s="860"/>
      <c r="B381" s="861"/>
      <c r="C381" s="1172"/>
      <c r="D381" s="798" t="s">
        <v>705</v>
      </c>
      <c r="E381" s="785" t="s">
        <v>546</v>
      </c>
      <c r="F381" s="862"/>
      <c r="G381" s="855"/>
      <c r="H381" s="855"/>
      <c r="I381" s="855"/>
      <c r="J381" s="855"/>
      <c r="K381" s="855"/>
      <c r="L381" s="855">
        <v>74000</v>
      </c>
      <c r="M381" s="863">
        <f t="shared" si="51"/>
        <v>74000</v>
      </c>
    </row>
    <row r="382" spans="1:13" s="58" customFormat="1" ht="43.5" customHeight="1">
      <c r="A382" s="860"/>
      <c r="B382" s="861"/>
      <c r="C382" s="1172"/>
      <c r="D382" s="798" t="s">
        <v>705</v>
      </c>
      <c r="E382" s="785" t="s">
        <v>547</v>
      </c>
      <c r="F382" s="862"/>
      <c r="G382" s="855"/>
      <c r="H382" s="855"/>
      <c r="I382" s="855"/>
      <c r="J382" s="855"/>
      <c r="K382" s="855"/>
      <c r="L382" s="855">
        <v>30000</v>
      </c>
      <c r="M382" s="863">
        <f t="shared" si="51"/>
        <v>30000</v>
      </c>
    </row>
    <row r="383" spans="1:13" s="58" customFormat="1" ht="43.5" customHeight="1">
      <c r="A383" s="860"/>
      <c r="B383" s="861"/>
      <c r="C383" s="1172"/>
      <c r="D383" s="798" t="s">
        <v>705</v>
      </c>
      <c r="E383" s="785" t="s">
        <v>548</v>
      </c>
      <c r="F383" s="862"/>
      <c r="G383" s="855"/>
      <c r="H383" s="855"/>
      <c r="I383" s="855"/>
      <c r="J383" s="855"/>
      <c r="K383" s="855"/>
      <c r="L383" s="855">
        <v>20000</v>
      </c>
      <c r="M383" s="863">
        <f t="shared" si="51"/>
        <v>20000</v>
      </c>
    </row>
    <row r="384" spans="1:13" s="114" customFormat="1" ht="47.25" customHeight="1">
      <c r="A384" s="823"/>
      <c r="B384" s="824"/>
      <c r="C384" s="1199" t="s">
        <v>701</v>
      </c>
      <c r="D384" s="825"/>
      <c r="E384" s="811" t="s">
        <v>23</v>
      </c>
      <c r="F384" s="867">
        <f>F385</f>
        <v>0</v>
      </c>
      <c r="G384" s="815">
        <f aca="true" t="shared" si="52" ref="G384:M384">G385</f>
        <v>0</v>
      </c>
      <c r="H384" s="815">
        <f t="shared" si="52"/>
        <v>345001</v>
      </c>
      <c r="I384" s="815">
        <f t="shared" si="52"/>
        <v>0</v>
      </c>
      <c r="J384" s="815">
        <f t="shared" si="52"/>
        <v>0</v>
      </c>
      <c r="K384" s="815">
        <f t="shared" si="52"/>
        <v>0</v>
      </c>
      <c r="L384" s="827">
        <f t="shared" si="52"/>
        <v>145000</v>
      </c>
      <c r="M384" s="870">
        <f t="shared" si="52"/>
        <v>490001</v>
      </c>
    </row>
    <row r="385" spans="1:13" s="47" customFormat="1" ht="43.5" customHeight="1">
      <c r="A385" s="829"/>
      <c r="B385" s="830"/>
      <c r="C385" s="1200"/>
      <c r="D385" s="831">
        <v>1</v>
      </c>
      <c r="E385" s="832" t="s">
        <v>778</v>
      </c>
      <c r="F385" s="833"/>
      <c r="G385" s="834"/>
      <c r="H385" s="350">
        <v>345001</v>
      </c>
      <c r="I385" s="350"/>
      <c r="J385" s="350"/>
      <c r="K385" s="351"/>
      <c r="L385" s="835">
        <v>145000</v>
      </c>
      <c r="M385" s="871">
        <f>SUM(F385:L385)</f>
        <v>490001</v>
      </c>
    </row>
    <row r="386" spans="1:13" s="46" customFormat="1" ht="43.5" customHeight="1">
      <c r="A386" s="304"/>
      <c r="B386" s="174">
        <v>80113</v>
      </c>
      <c r="C386" s="1151"/>
      <c r="D386" s="175"/>
      <c r="E386" s="176" t="s">
        <v>779</v>
      </c>
      <c r="F386" s="837">
        <f>F387</f>
        <v>0</v>
      </c>
      <c r="G386" s="838">
        <f aca="true" t="shared" si="53" ref="G386:M386">G387</f>
        <v>0</v>
      </c>
      <c r="H386" s="838">
        <f t="shared" si="53"/>
        <v>0</v>
      </c>
      <c r="I386" s="838">
        <f t="shared" si="53"/>
        <v>0</v>
      </c>
      <c r="J386" s="838">
        <f t="shared" si="53"/>
        <v>0</v>
      </c>
      <c r="K386" s="838">
        <f t="shared" si="53"/>
        <v>0</v>
      </c>
      <c r="L386" s="838">
        <f t="shared" si="53"/>
        <v>381424</v>
      </c>
      <c r="M386" s="839">
        <f t="shared" si="53"/>
        <v>381424</v>
      </c>
    </row>
    <row r="387" spans="1:13" s="47" customFormat="1" ht="43.5" customHeight="1">
      <c r="A387" s="829"/>
      <c r="B387" s="307"/>
      <c r="C387" s="1202" t="s">
        <v>602</v>
      </c>
      <c r="D387" s="656"/>
      <c r="E387" s="872" t="s">
        <v>1016</v>
      </c>
      <c r="F387" s="460">
        <f>SUM(F388:F393)</f>
        <v>0</v>
      </c>
      <c r="G387" s="777">
        <f aca="true" t="shared" si="54" ref="G387:M387">SUM(G388:G393)</f>
        <v>0</v>
      </c>
      <c r="H387" s="460">
        <f t="shared" si="54"/>
        <v>0</v>
      </c>
      <c r="I387" s="460">
        <f t="shared" si="54"/>
        <v>0</v>
      </c>
      <c r="J387" s="460">
        <f t="shared" si="54"/>
        <v>0</v>
      </c>
      <c r="K387" s="460">
        <f t="shared" si="54"/>
        <v>0</v>
      </c>
      <c r="L387" s="460">
        <f t="shared" si="54"/>
        <v>381424</v>
      </c>
      <c r="M387" s="460">
        <f t="shared" si="54"/>
        <v>381424</v>
      </c>
    </row>
    <row r="388" spans="1:13" s="47" customFormat="1" ht="43.5" customHeight="1">
      <c r="A388" s="829"/>
      <c r="B388" s="307"/>
      <c r="C388" s="1203" t="s">
        <v>682</v>
      </c>
      <c r="D388" s="181"/>
      <c r="E388" s="309" t="s">
        <v>44</v>
      </c>
      <c r="F388" s="310"/>
      <c r="G388" s="461"/>
      <c r="H388" s="183"/>
      <c r="I388" s="183"/>
      <c r="J388" s="183"/>
      <c r="K388" s="183"/>
      <c r="L388" s="183">
        <v>145930</v>
      </c>
      <c r="M388" s="873">
        <f aca="true" t="shared" si="55" ref="M388:M393">L388</f>
        <v>145930</v>
      </c>
    </row>
    <row r="389" spans="1:13" s="47" customFormat="1" ht="43.5" customHeight="1">
      <c r="A389" s="829"/>
      <c r="B389" s="307"/>
      <c r="C389" s="1204" t="s">
        <v>700</v>
      </c>
      <c r="D389" s="874"/>
      <c r="E389" s="875" t="s">
        <v>780</v>
      </c>
      <c r="F389" s="876"/>
      <c r="G389" s="877"/>
      <c r="H389" s="192"/>
      <c r="I389" s="192"/>
      <c r="J389" s="192"/>
      <c r="K389" s="192"/>
      <c r="L389" s="192">
        <v>159444</v>
      </c>
      <c r="M389" s="878">
        <f t="shared" si="55"/>
        <v>159444</v>
      </c>
    </row>
    <row r="390" spans="1:13" s="47" customFormat="1" ht="43.5" customHeight="1">
      <c r="A390" s="829"/>
      <c r="B390" s="307"/>
      <c r="C390" s="1204" t="s">
        <v>701</v>
      </c>
      <c r="D390" s="874"/>
      <c r="E390" s="875" t="s">
        <v>777</v>
      </c>
      <c r="F390" s="876"/>
      <c r="G390" s="877"/>
      <c r="H390" s="192"/>
      <c r="I390" s="192"/>
      <c r="J390" s="192"/>
      <c r="K390" s="192"/>
      <c r="L390" s="192">
        <v>22050</v>
      </c>
      <c r="M390" s="878">
        <f t="shared" si="55"/>
        <v>22050</v>
      </c>
    </row>
    <row r="391" spans="1:13" s="47" customFormat="1" ht="43.5" customHeight="1">
      <c r="A391" s="829"/>
      <c r="B391" s="307"/>
      <c r="C391" s="1204" t="s">
        <v>702</v>
      </c>
      <c r="D391" s="874"/>
      <c r="E391" s="875" t="s">
        <v>781</v>
      </c>
      <c r="F391" s="876"/>
      <c r="G391" s="877"/>
      <c r="H391" s="192"/>
      <c r="I391" s="192"/>
      <c r="J391" s="192"/>
      <c r="K391" s="192"/>
      <c r="L391" s="192">
        <v>24000</v>
      </c>
      <c r="M391" s="878">
        <f t="shared" si="55"/>
        <v>24000</v>
      </c>
    </row>
    <row r="392" spans="1:13" s="47" customFormat="1" ht="43.5" customHeight="1">
      <c r="A392" s="829"/>
      <c r="B392" s="307"/>
      <c r="C392" s="1204" t="s">
        <v>703</v>
      </c>
      <c r="D392" s="874"/>
      <c r="E392" s="875" t="s">
        <v>32</v>
      </c>
      <c r="F392" s="876"/>
      <c r="G392" s="877"/>
      <c r="H392" s="192"/>
      <c r="I392" s="192"/>
      <c r="J392" s="192"/>
      <c r="K392" s="192"/>
      <c r="L392" s="192">
        <v>0</v>
      </c>
      <c r="M392" s="878">
        <f t="shared" si="55"/>
        <v>0</v>
      </c>
    </row>
    <row r="393" spans="1:13" s="47" customFormat="1" ht="43.5" customHeight="1">
      <c r="A393" s="829"/>
      <c r="B393" s="307"/>
      <c r="C393" s="1205" t="s">
        <v>704</v>
      </c>
      <c r="D393" s="181"/>
      <c r="E393" s="309" t="s">
        <v>33</v>
      </c>
      <c r="F393" s="879"/>
      <c r="G393" s="880"/>
      <c r="H393" s="325"/>
      <c r="I393" s="325"/>
      <c r="J393" s="325"/>
      <c r="K393" s="325"/>
      <c r="L393" s="325">
        <v>30000</v>
      </c>
      <c r="M393" s="881">
        <f t="shared" si="55"/>
        <v>30000</v>
      </c>
    </row>
    <row r="394" spans="1:13" s="46" customFormat="1" ht="43.5" customHeight="1">
      <c r="A394" s="304"/>
      <c r="B394" s="174">
        <v>80114</v>
      </c>
      <c r="C394" s="1151"/>
      <c r="D394" s="175"/>
      <c r="E394" s="176" t="s">
        <v>573</v>
      </c>
      <c r="F394" s="837">
        <f aca="true" t="shared" si="56" ref="F394:M394">F395</f>
        <v>0</v>
      </c>
      <c r="G394" s="838">
        <f t="shared" si="56"/>
        <v>0</v>
      </c>
      <c r="H394" s="838">
        <f t="shared" si="56"/>
        <v>0</v>
      </c>
      <c r="I394" s="838">
        <f t="shared" si="56"/>
        <v>0</v>
      </c>
      <c r="J394" s="838">
        <f t="shared" si="56"/>
        <v>0</v>
      </c>
      <c r="K394" s="838">
        <f t="shared" si="56"/>
        <v>0</v>
      </c>
      <c r="L394" s="838">
        <f t="shared" si="56"/>
        <v>578323</v>
      </c>
      <c r="M394" s="839">
        <f t="shared" si="56"/>
        <v>578323</v>
      </c>
    </row>
    <row r="395" spans="1:14" s="4" customFormat="1" ht="52.5" customHeight="1">
      <c r="A395" s="173"/>
      <c r="B395" s="357"/>
      <c r="C395" s="1206" t="s">
        <v>700</v>
      </c>
      <c r="D395" s="181"/>
      <c r="E395" s="182" t="s">
        <v>721</v>
      </c>
      <c r="F395" s="882"/>
      <c r="G395" s="883"/>
      <c r="H395" s="884"/>
      <c r="I395" s="884"/>
      <c r="J395" s="884"/>
      <c r="K395" s="186"/>
      <c r="L395" s="185">
        <v>578323</v>
      </c>
      <c r="M395" s="187">
        <f>L395</f>
        <v>578323</v>
      </c>
      <c r="N395" s="4" t="s">
        <v>526</v>
      </c>
    </row>
    <row r="396" spans="1:14" s="74" customFormat="1" ht="33.75" customHeight="1">
      <c r="A396" s="885"/>
      <c r="B396" s="886" t="s">
        <v>782</v>
      </c>
      <c r="C396" s="1207"/>
      <c r="D396" s="887"/>
      <c r="E396" s="888" t="s">
        <v>783</v>
      </c>
      <c r="F396" s="456">
        <f>F397</f>
        <v>0</v>
      </c>
      <c r="G396" s="889">
        <f aca="true" t="shared" si="57" ref="G396:M396">G397</f>
        <v>0</v>
      </c>
      <c r="H396" s="456">
        <f t="shared" si="57"/>
        <v>0</v>
      </c>
      <c r="I396" s="456">
        <f t="shared" si="57"/>
        <v>0</v>
      </c>
      <c r="J396" s="456">
        <f t="shared" si="57"/>
        <v>0</v>
      </c>
      <c r="K396" s="456">
        <f t="shared" si="57"/>
        <v>0</v>
      </c>
      <c r="L396" s="456">
        <f t="shared" si="57"/>
        <v>2891672</v>
      </c>
      <c r="M396" s="456">
        <f t="shared" si="57"/>
        <v>2891672</v>
      </c>
      <c r="N396" s="74" t="s">
        <v>526</v>
      </c>
    </row>
    <row r="397" spans="1:14" s="74" customFormat="1" ht="27" customHeight="1">
      <c r="A397" s="774"/>
      <c r="B397" s="465"/>
      <c r="C397" s="1197" t="s">
        <v>602</v>
      </c>
      <c r="D397" s="775"/>
      <c r="E397" s="776" t="s">
        <v>1016</v>
      </c>
      <c r="F397" s="460">
        <f>F398+F399</f>
        <v>0</v>
      </c>
      <c r="G397" s="777">
        <f aca="true" t="shared" si="58" ref="G397:M397">G398+G399</f>
        <v>0</v>
      </c>
      <c r="H397" s="460">
        <f t="shared" si="58"/>
        <v>0</v>
      </c>
      <c r="I397" s="460">
        <f t="shared" si="58"/>
        <v>0</v>
      </c>
      <c r="J397" s="460">
        <f t="shared" si="58"/>
        <v>0</v>
      </c>
      <c r="K397" s="460">
        <f t="shared" si="58"/>
        <v>0</v>
      </c>
      <c r="L397" s="460">
        <f t="shared" si="58"/>
        <v>2891672</v>
      </c>
      <c r="M397" s="460">
        <f t="shared" si="58"/>
        <v>2891672</v>
      </c>
      <c r="N397" s="74" t="s">
        <v>526</v>
      </c>
    </row>
    <row r="398" spans="1:14" s="75" customFormat="1" ht="27.75" customHeight="1">
      <c r="A398" s="885"/>
      <c r="B398" s="465"/>
      <c r="C398" s="1208" t="s">
        <v>682</v>
      </c>
      <c r="D398" s="890"/>
      <c r="E398" s="891" t="s">
        <v>44</v>
      </c>
      <c r="F398" s="892"/>
      <c r="G398" s="891"/>
      <c r="H398" s="893"/>
      <c r="I398" s="893"/>
      <c r="J398" s="893"/>
      <c r="K398" s="477"/>
      <c r="L398" s="478">
        <v>855108</v>
      </c>
      <c r="M398" s="482">
        <f>L398</f>
        <v>855108</v>
      </c>
      <c r="N398" s="75" t="s">
        <v>526</v>
      </c>
    </row>
    <row r="399" spans="1:14" s="76" customFormat="1" ht="27" customHeight="1">
      <c r="A399" s="885"/>
      <c r="B399" s="465"/>
      <c r="C399" s="1209" t="s">
        <v>700</v>
      </c>
      <c r="D399" s="894"/>
      <c r="E399" s="895" t="s">
        <v>780</v>
      </c>
      <c r="F399" s="896"/>
      <c r="G399" s="895"/>
      <c r="H399" s="897"/>
      <c r="I399" s="897"/>
      <c r="J399" s="897"/>
      <c r="K399" s="470"/>
      <c r="L399" s="471">
        <v>2036564</v>
      </c>
      <c r="M399" s="898">
        <f>K399+L399</f>
        <v>2036564</v>
      </c>
      <c r="N399" s="76" t="s">
        <v>526</v>
      </c>
    </row>
    <row r="400" spans="1:14" s="77" customFormat="1" ht="30.75" customHeight="1">
      <c r="A400" s="885"/>
      <c r="B400" s="886" t="s">
        <v>784</v>
      </c>
      <c r="C400" s="1210"/>
      <c r="D400" s="899"/>
      <c r="E400" s="900" t="s">
        <v>785</v>
      </c>
      <c r="F400" s="456">
        <f>F401</f>
        <v>0</v>
      </c>
      <c r="G400" s="889">
        <f aca="true" t="shared" si="59" ref="G400:M400">G401</f>
        <v>0</v>
      </c>
      <c r="H400" s="456">
        <f t="shared" si="59"/>
        <v>0</v>
      </c>
      <c r="I400" s="456">
        <f t="shared" si="59"/>
        <v>0</v>
      </c>
      <c r="J400" s="456">
        <f t="shared" si="59"/>
        <v>0</v>
      </c>
      <c r="K400" s="456">
        <f t="shared" si="59"/>
        <v>0</v>
      </c>
      <c r="L400" s="456">
        <f t="shared" si="59"/>
        <v>262721</v>
      </c>
      <c r="M400" s="456">
        <f t="shared" si="59"/>
        <v>262721</v>
      </c>
      <c r="N400" s="77" t="s">
        <v>526</v>
      </c>
    </row>
    <row r="401" spans="1:14" s="76" customFormat="1" ht="30.75" customHeight="1">
      <c r="A401" s="774"/>
      <c r="B401" s="465"/>
      <c r="C401" s="1197" t="s">
        <v>602</v>
      </c>
      <c r="D401" s="901"/>
      <c r="E401" s="776" t="s">
        <v>1016</v>
      </c>
      <c r="F401" s="310">
        <f>F402</f>
        <v>0</v>
      </c>
      <c r="G401" s="461">
        <f aca="true" t="shared" si="60" ref="G401:M401">G402</f>
        <v>0</v>
      </c>
      <c r="H401" s="310">
        <f t="shared" si="60"/>
        <v>0</v>
      </c>
      <c r="I401" s="310">
        <f t="shared" si="60"/>
        <v>0</v>
      </c>
      <c r="J401" s="310">
        <f t="shared" si="60"/>
        <v>0</v>
      </c>
      <c r="K401" s="310">
        <f t="shared" si="60"/>
        <v>0</v>
      </c>
      <c r="L401" s="310">
        <f t="shared" si="60"/>
        <v>262721</v>
      </c>
      <c r="M401" s="310">
        <f t="shared" si="60"/>
        <v>262721</v>
      </c>
      <c r="N401" s="76" t="s">
        <v>526</v>
      </c>
    </row>
    <row r="402" spans="1:14" s="75" customFormat="1" ht="28.5" customHeight="1">
      <c r="A402" s="885"/>
      <c r="B402" s="465"/>
      <c r="C402" s="1211" t="s">
        <v>682</v>
      </c>
      <c r="D402" s="902"/>
      <c r="E402" s="903" t="s">
        <v>780</v>
      </c>
      <c r="F402" s="904"/>
      <c r="G402" s="903"/>
      <c r="H402" s="905"/>
      <c r="I402" s="905"/>
      <c r="J402" s="905"/>
      <c r="K402" s="906"/>
      <c r="L402" s="907">
        <v>262721</v>
      </c>
      <c r="M402" s="908">
        <f>L402</f>
        <v>262721</v>
      </c>
      <c r="N402" s="75" t="s">
        <v>526</v>
      </c>
    </row>
    <row r="403" spans="1:14" s="75" customFormat="1" ht="36.75" customHeight="1">
      <c r="A403" s="885"/>
      <c r="B403" s="886" t="s">
        <v>786</v>
      </c>
      <c r="C403" s="1210"/>
      <c r="D403" s="899"/>
      <c r="E403" s="900" t="s">
        <v>787</v>
      </c>
      <c r="F403" s="456">
        <f>F404</f>
        <v>0</v>
      </c>
      <c r="G403" s="889">
        <f aca="true" t="shared" si="61" ref="G403:M403">G404</f>
        <v>0</v>
      </c>
      <c r="H403" s="456">
        <f t="shared" si="61"/>
        <v>0</v>
      </c>
      <c r="I403" s="456">
        <f t="shared" si="61"/>
        <v>0</v>
      </c>
      <c r="J403" s="456">
        <f t="shared" si="61"/>
        <v>0</v>
      </c>
      <c r="K403" s="456">
        <f t="shared" si="61"/>
        <v>0</v>
      </c>
      <c r="L403" s="456">
        <f t="shared" si="61"/>
        <v>593397</v>
      </c>
      <c r="M403" s="456">
        <f t="shared" si="61"/>
        <v>593397</v>
      </c>
      <c r="N403" s="75" t="s">
        <v>526</v>
      </c>
    </row>
    <row r="404" spans="1:14" s="77" customFormat="1" ht="27.75" customHeight="1">
      <c r="A404" s="774"/>
      <c r="B404" s="465"/>
      <c r="C404" s="1197" t="s">
        <v>602</v>
      </c>
      <c r="D404" s="775"/>
      <c r="E404" s="776" t="s">
        <v>1016</v>
      </c>
      <c r="F404" s="310">
        <f>F405</f>
        <v>0</v>
      </c>
      <c r="G404" s="461">
        <f aca="true" t="shared" si="62" ref="G404:M404">G405</f>
        <v>0</v>
      </c>
      <c r="H404" s="310">
        <f t="shared" si="62"/>
        <v>0</v>
      </c>
      <c r="I404" s="310">
        <f t="shared" si="62"/>
        <v>0</v>
      </c>
      <c r="J404" s="310">
        <f t="shared" si="62"/>
        <v>0</v>
      </c>
      <c r="K404" s="310">
        <f t="shared" si="62"/>
        <v>0</v>
      </c>
      <c r="L404" s="310">
        <f t="shared" si="62"/>
        <v>593397</v>
      </c>
      <c r="M404" s="310">
        <f t="shared" si="62"/>
        <v>593397</v>
      </c>
      <c r="N404" s="77" t="s">
        <v>526</v>
      </c>
    </row>
    <row r="405" spans="1:14" s="75" customFormat="1" ht="30.75" customHeight="1">
      <c r="A405" s="885"/>
      <c r="B405" s="465"/>
      <c r="C405" s="1211" t="s">
        <v>682</v>
      </c>
      <c r="D405" s="902"/>
      <c r="E405" s="903" t="s">
        <v>780</v>
      </c>
      <c r="F405" s="909"/>
      <c r="G405" s="910"/>
      <c r="H405" s="911"/>
      <c r="I405" s="911"/>
      <c r="J405" s="911"/>
      <c r="K405" s="186"/>
      <c r="L405" s="185">
        <v>593397</v>
      </c>
      <c r="M405" s="187">
        <f>L405</f>
        <v>593397</v>
      </c>
      <c r="N405" s="75" t="s">
        <v>526</v>
      </c>
    </row>
    <row r="406" spans="1:14" s="78" customFormat="1" ht="36.75" customHeight="1">
      <c r="A406" s="885"/>
      <c r="B406" s="886">
        <v>80145</v>
      </c>
      <c r="C406" s="1212"/>
      <c r="D406" s="912"/>
      <c r="E406" s="913" t="s">
        <v>788</v>
      </c>
      <c r="F406" s="914">
        <f>F407</f>
        <v>0</v>
      </c>
      <c r="G406" s="915">
        <f aca="true" t="shared" si="63" ref="G406:M406">G407</f>
        <v>0</v>
      </c>
      <c r="H406" s="914">
        <f t="shared" si="63"/>
        <v>0</v>
      </c>
      <c r="I406" s="914">
        <f t="shared" si="63"/>
        <v>0</v>
      </c>
      <c r="J406" s="914">
        <f t="shared" si="63"/>
        <v>0</v>
      </c>
      <c r="K406" s="914">
        <f t="shared" si="63"/>
        <v>0</v>
      </c>
      <c r="L406" s="914">
        <f t="shared" si="63"/>
        <v>3500</v>
      </c>
      <c r="M406" s="914">
        <f t="shared" si="63"/>
        <v>3500</v>
      </c>
      <c r="N406" s="78" t="s">
        <v>526</v>
      </c>
    </row>
    <row r="407" spans="1:14" s="77" customFormat="1" ht="27" customHeight="1">
      <c r="A407" s="916"/>
      <c r="B407" s="465"/>
      <c r="C407" s="1213" t="s">
        <v>602</v>
      </c>
      <c r="D407" s="917"/>
      <c r="E407" s="781" t="s">
        <v>789</v>
      </c>
      <c r="F407" s="310">
        <f>F408</f>
        <v>0</v>
      </c>
      <c r="G407" s="461">
        <f aca="true" t="shared" si="64" ref="G407:M407">G408</f>
        <v>0</v>
      </c>
      <c r="H407" s="310">
        <f t="shared" si="64"/>
        <v>0</v>
      </c>
      <c r="I407" s="310">
        <f t="shared" si="64"/>
        <v>0</v>
      </c>
      <c r="J407" s="310">
        <f t="shared" si="64"/>
        <v>0</v>
      </c>
      <c r="K407" s="310">
        <f t="shared" si="64"/>
        <v>0</v>
      </c>
      <c r="L407" s="310">
        <f t="shared" si="64"/>
        <v>3500</v>
      </c>
      <c r="M407" s="310">
        <f t="shared" si="64"/>
        <v>3500</v>
      </c>
      <c r="N407" s="77" t="s">
        <v>526</v>
      </c>
    </row>
    <row r="408" spans="1:14" s="75" customFormat="1" ht="30.75" customHeight="1">
      <c r="A408" s="885"/>
      <c r="B408" s="483"/>
      <c r="C408" s="1213" t="s">
        <v>682</v>
      </c>
      <c r="D408" s="917"/>
      <c r="E408" s="883" t="s">
        <v>572</v>
      </c>
      <c r="F408" s="651"/>
      <c r="G408" s="883"/>
      <c r="H408" s="884"/>
      <c r="I408" s="884"/>
      <c r="J408" s="884"/>
      <c r="K408" s="186"/>
      <c r="L408" s="185">
        <v>3500</v>
      </c>
      <c r="M408" s="918">
        <f>L408</f>
        <v>3500</v>
      </c>
      <c r="N408" s="75" t="s">
        <v>526</v>
      </c>
    </row>
    <row r="409" spans="1:14" s="80" customFormat="1" ht="39" customHeight="1">
      <c r="A409" s="885"/>
      <c r="B409" s="886">
        <v>80146</v>
      </c>
      <c r="C409" s="1212"/>
      <c r="D409" s="912"/>
      <c r="E409" s="913" t="s">
        <v>790</v>
      </c>
      <c r="F409" s="914">
        <f aca="true" t="shared" si="65" ref="F409:K409">F410</f>
        <v>0</v>
      </c>
      <c r="G409" s="914">
        <f t="shared" si="65"/>
        <v>0</v>
      </c>
      <c r="H409" s="914">
        <f t="shared" si="65"/>
        <v>0</v>
      </c>
      <c r="I409" s="914">
        <f t="shared" si="65"/>
        <v>0</v>
      </c>
      <c r="J409" s="914">
        <f t="shared" si="65"/>
        <v>0</v>
      </c>
      <c r="K409" s="914">
        <f t="shared" si="65"/>
        <v>0</v>
      </c>
      <c r="L409" s="919">
        <f>L410+L417</f>
        <v>104893</v>
      </c>
      <c r="M409" s="920">
        <f>M410+M417</f>
        <v>104893</v>
      </c>
      <c r="N409" s="80" t="s">
        <v>526</v>
      </c>
    </row>
    <row r="410" spans="1:14" s="75" customFormat="1" ht="49.5" customHeight="1">
      <c r="A410" s="916"/>
      <c r="B410" s="465"/>
      <c r="C410" s="1213" t="s">
        <v>602</v>
      </c>
      <c r="D410" s="917"/>
      <c r="E410" s="921" t="s">
        <v>1016</v>
      </c>
      <c r="F410" s="310">
        <f aca="true" t="shared" si="66" ref="F410:M410">SUM(F411:F416)</f>
        <v>0</v>
      </c>
      <c r="G410" s="310">
        <f t="shared" si="66"/>
        <v>0</v>
      </c>
      <c r="H410" s="310">
        <f t="shared" si="66"/>
        <v>0</v>
      </c>
      <c r="I410" s="310">
        <f t="shared" si="66"/>
        <v>0</v>
      </c>
      <c r="J410" s="310">
        <f t="shared" si="66"/>
        <v>0</v>
      </c>
      <c r="K410" s="310">
        <f t="shared" si="66"/>
        <v>0</v>
      </c>
      <c r="L410" s="922">
        <f t="shared" si="66"/>
        <v>93022</v>
      </c>
      <c r="M410" s="923">
        <f t="shared" si="66"/>
        <v>93022</v>
      </c>
      <c r="N410" s="75" t="s">
        <v>526</v>
      </c>
    </row>
    <row r="411" spans="1:14" s="75" customFormat="1" ht="49.5" customHeight="1">
      <c r="A411" s="885"/>
      <c r="B411" s="465"/>
      <c r="C411" s="1208" t="s">
        <v>682</v>
      </c>
      <c r="D411" s="890"/>
      <c r="E411" s="891" t="s">
        <v>44</v>
      </c>
      <c r="F411" s="892"/>
      <c r="G411" s="891"/>
      <c r="H411" s="893"/>
      <c r="I411" s="893"/>
      <c r="J411" s="893"/>
      <c r="K411" s="477"/>
      <c r="L411" s="699">
        <v>19428</v>
      </c>
      <c r="M411" s="479">
        <f>K411+L411</f>
        <v>19428</v>
      </c>
      <c r="N411" s="75" t="s">
        <v>526</v>
      </c>
    </row>
    <row r="412" spans="1:14" s="80" customFormat="1" ht="49.5" customHeight="1">
      <c r="A412" s="885"/>
      <c r="B412" s="465"/>
      <c r="C412" s="1209" t="s">
        <v>700</v>
      </c>
      <c r="D412" s="894"/>
      <c r="E412" s="895" t="s">
        <v>780</v>
      </c>
      <c r="F412" s="896"/>
      <c r="G412" s="895"/>
      <c r="H412" s="897"/>
      <c r="I412" s="897"/>
      <c r="J412" s="897"/>
      <c r="K412" s="470"/>
      <c r="L412" s="202">
        <v>34658</v>
      </c>
      <c r="M412" s="200">
        <f>K412+L412</f>
        <v>34658</v>
      </c>
      <c r="N412" s="80" t="s">
        <v>526</v>
      </c>
    </row>
    <row r="413" spans="1:14" s="75" customFormat="1" ht="49.5" customHeight="1">
      <c r="A413" s="885"/>
      <c r="B413" s="465"/>
      <c r="C413" s="1209" t="s">
        <v>701</v>
      </c>
      <c r="D413" s="894"/>
      <c r="E413" s="895" t="s">
        <v>777</v>
      </c>
      <c r="F413" s="896"/>
      <c r="G413" s="895"/>
      <c r="H413" s="897"/>
      <c r="I413" s="897"/>
      <c r="J413" s="897"/>
      <c r="K413" s="470"/>
      <c r="L413" s="202">
        <v>14000</v>
      </c>
      <c r="M413" s="200">
        <f>K413+L413</f>
        <v>14000</v>
      </c>
      <c r="N413" s="75" t="s">
        <v>526</v>
      </c>
    </row>
    <row r="414" spans="1:14" s="75" customFormat="1" ht="49.5" customHeight="1">
      <c r="A414" s="885"/>
      <c r="B414" s="465"/>
      <c r="C414" s="1209" t="s">
        <v>702</v>
      </c>
      <c r="D414" s="894"/>
      <c r="E414" s="895" t="s">
        <v>781</v>
      </c>
      <c r="F414" s="896"/>
      <c r="G414" s="895"/>
      <c r="H414" s="897"/>
      <c r="I414" s="897"/>
      <c r="J414" s="897"/>
      <c r="K414" s="470"/>
      <c r="L414" s="202">
        <v>19548</v>
      </c>
      <c r="M414" s="200">
        <f>L414+K414</f>
        <v>19548</v>
      </c>
      <c r="N414" s="75" t="s">
        <v>526</v>
      </c>
    </row>
    <row r="415" spans="1:14" s="75" customFormat="1" ht="49.5" customHeight="1">
      <c r="A415" s="885"/>
      <c r="B415" s="465"/>
      <c r="C415" s="1209" t="s">
        <v>703</v>
      </c>
      <c r="D415" s="894"/>
      <c r="E415" s="895" t="s">
        <v>32</v>
      </c>
      <c r="F415" s="896"/>
      <c r="G415" s="895"/>
      <c r="H415" s="897"/>
      <c r="I415" s="897"/>
      <c r="J415" s="897"/>
      <c r="K415" s="470"/>
      <c r="L415" s="202">
        <v>2590</v>
      </c>
      <c r="M415" s="200">
        <f>L415</f>
        <v>2590</v>
      </c>
      <c r="N415" s="75" t="s">
        <v>526</v>
      </c>
    </row>
    <row r="416" spans="1:14" s="75" customFormat="1" ht="49.5" customHeight="1">
      <c r="A416" s="885"/>
      <c r="B416" s="465"/>
      <c r="C416" s="1214" t="s">
        <v>704</v>
      </c>
      <c r="D416" s="924"/>
      <c r="E416" s="925" t="s">
        <v>33</v>
      </c>
      <c r="F416" s="926"/>
      <c r="G416" s="925"/>
      <c r="H416" s="927"/>
      <c r="I416" s="927"/>
      <c r="J416" s="927"/>
      <c r="K416" s="928"/>
      <c r="L416" s="929">
        <v>2798</v>
      </c>
      <c r="M416" s="930">
        <f>L416</f>
        <v>2798</v>
      </c>
      <c r="N416" s="75" t="s">
        <v>526</v>
      </c>
    </row>
    <row r="417" spans="1:13" s="75" customFormat="1" ht="49.5" customHeight="1">
      <c r="A417" s="774"/>
      <c r="B417" s="465"/>
      <c r="C417" s="1213" t="s">
        <v>121</v>
      </c>
      <c r="D417" s="917"/>
      <c r="E417" s="921" t="s">
        <v>747</v>
      </c>
      <c r="F417" s="310">
        <f>F418+F419+F420+F421</f>
        <v>0</v>
      </c>
      <c r="G417" s="310">
        <f aca="true" t="shared" si="67" ref="G417:M417">G418+G419+G420+G421</f>
        <v>0</v>
      </c>
      <c r="H417" s="310">
        <f t="shared" si="67"/>
        <v>0</v>
      </c>
      <c r="I417" s="310">
        <f t="shared" si="67"/>
        <v>0</v>
      </c>
      <c r="J417" s="310">
        <f t="shared" si="67"/>
        <v>0</v>
      </c>
      <c r="K417" s="310">
        <f t="shared" si="67"/>
        <v>0</v>
      </c>
      <c r="L417" s="310">
        <f t="shared" si="67"/>
        <v>11871</v>
      </c>
      <c r="M417" s="310">
        <f t="shared" si="67"/>
        <v>11871</v>
      </c>
    </row>
    <row r="418" spans="1:14" s="75" customFormat="1" ht="49.5" customHeight="1">
      <c r="A418" s="885"/>
      <c r="B418" s="465"/>
      <c r="C418" s="1215" t="s">
        <v>682</v>
      </c>
      <c r="D418" s="931"/>
      <c r="E418" s="932" t="s">
        <v>748</v>
      </c>
      <c r="F418" s="933"/>
      <c r="G418" s="932"/>
      <c r="H418" s="934"/>
      <c r="I418" s="934"/>
      <c r="J418" s="934"/>
      <c r="K418" s="935"/>
      <c r="L418" s="194">
        <v>2707</v>
      </c>
      <c r="M418" s="195">
        <f>L418</f>
        <v>2707</v>
      </c>
      <c r="N418" s="75" t="s">
        <v>526</v>
      </c>
    </row>
    <row r="419" spans="1:14" s="76" customFormat="1" ht="49.5" customHeight="1">
      <c r="A419" s="885"/>
      <c r="B419" s="465"/>
      <c r="C419" s="1215" t="s">
        <v>700</v>
      </c>
      <c r="D419" s="931"/>
      <c r="E419" s="932" t="s">
        <v>750</v>
      </c>
      <c r="F419" s="933"/>
      <c r="G419" s="932"/>
      <c r="H419" s="934"/>
      <c r="I419" s="934"/>
      <c r="J419" s="934"/>
      <c r="K419" s="935"/>
      <c r="L419" s="194">
        <v>3228</v>
      </c>
      <c r="M419" s="195">
        <f>L419</f>
        <v>3228</v>
      </c>
      <c r="N419" s="76" t="s">
        <v>526</v>
      </c>
    </row>
    <row r="420" spans="1:14" s="75" customFormat="1" ht="49.5" customHeight="1">
      <c r="A420" s="885"/>
      <c r="B420" s="465"/>
      <c r="C420" s="1216" t="s">
        <v>701</v>
      </c>
      <c r="D420" s="936"/>
      <c r="E420" s="937" t="s">
        <v>751</v>
      </c>
      <c r="F420" s="938"/>
      <c r="G420" s="937"/>
      <c r="H420" s="939"/>
      <c r="I420" s="939"/>
      <c r="J420" s="939"/>
      <c r="K420" s="940"/>
      <c r="L420" s="941">
        <v>2966</v>
      </c>
      <c r="M420" s="942">
        <f>L420</f>
        <v>2966</v>
      </c>
      <c r="N420" s="75" t="s">
        <v>526</v>
      </c>
    </row>
    <row r="421" spans="1:14" s="75" customFormat="1" ht="49.5" customHeight="1">
      <c r="A421" s="885"/>
      <c r="B421" s="465"/>
      <c r="C421" s="1217" t="s">
        <v>702</v>
      </c>
      <c r="D421" s="943"/>
      <c r="E421" s="361" t="s">
        <v>752</v>
      </c>
      <c r="F421" s="944"/>
      <c r="G421" s="361"/>
      <c r="H421" s="360"/>
      <c r="I421" s="360"/>
      <c r="J421" s="360"/>
      <c r="K421" s="470"/>
      <c r="L421" s="202">
        <v>2970</v>
      </c>
      <c r="M421" s="200">
        <f>L421</f>
        <v>2970</v>
      </c>
      <c r="N421" s="75" t="s">
        <v>526</v>
      </c>
    </row>
    <row r="422" spans="1:13" s="4" customFormat="1" ht="41.25" customHeight="1">
      <c r="A422" s="173"/>
      <c r="B422" s="886">
        <v>80195</v>
      </c>
      <c r="C422" s="1218"/>
      <c r="D422" s="455"/>
      <c r="E422" s="403" t="s">
        <v>24</v>
      </c>
      <c r="F422" s="456">
        <f>F423+F424+F425+F432+F436</f>
        <v>0</v>
      </c>
      <c r="G422" s="456">
        <f aca="true" t="shared" si="68" ref="G422:M422">G423+G424+G425+G432+G436</f>
        <v>0</v>
      </c>
      <c r="H422" s="456">
        <f t="shared" si="68"/>
        <v>0</v>
      </c>
      <c r="I422" s="456">
        <f t="shared" si="68"/>
        <v>0</v>
      </c>
      <c r="J422" s="456">
        <f t="shared" si="68"/>
        <v>0</v>
      </c>
      <c r="K422" s="456">
        <f t="shared" si="68"/>
        <v>0</v>
      </c>
      <c r="L422" s="456">
        <f t="shared" si="68"/>
        <v>167436</v>
      </c>
      <c r="M422" s="456">
        <f t="shared" si="68"/>
        <v>167436</v>
      </c>
    </row>
    <row r="423" spans="1:14" s="4" customFormat="1" ht="55.5" customHeight="1">
      <c r="A423" s="173"/>
      <c r="B423" s="357"/>
      <c r="C423" s="1219">
        <v>1</v>
      </c>
      <c r="D423" s="945"/>
      <c r="E423" s="946" t="s">
        <v>791</v>
      </c>
      <c r="F423" s="947"/>
      <c r="G423" s="948"/>
      <c r="H423" s="949"/>
      <c r="I423" s="949"/>
      <c r="J423" s="949"/>
      <c r="K423" s="950"/>
      <c r="L423" s="951">
        <v>36000</v>
      </c>
      <c r="M423" s="363">
        <f>K423+L423</f>
        <v>36000</v>
      </c>
      <c r="N423" s="4" t="s">
        <v>596</v>
      </c>
    </row>
    <row r="424" spans="1:14" s="2" customFormat="1" ht="61.5" customHeight="1">
      <c r="A424" s="173"/>
      <c r="B424" s="357"/>
      <c r="C424" s="1193">
        <v>2</v>
      </c>
      <c r="D424" s="757"/>
      <c r="E424" s="563" t="s">
        <v>722</v>
      </c>
      <c r="F424" s="952"/>
      <c r="G424" s="766"/>
      <c r="H424" s="767"/>
      <c r="I424" s="767"/>
      <c r="J424" s="767"/>
      <c r="K424" s="768"/>
      <c r="L424" s="769">
        <f>2000+30000+5000</f>
        <v>37000</v>
      </c>
      <c r="M424" s="773">
        <f>L424</f>
        <v>37000</v>
      </c>
      <c r="N424" s="2" t="s">
        <v>526</v>
      </c>
    </row>
    <row r="425" spans="1:14" s="2" customFormat="1" ht="34.5" customHeight="1">
      <c r="A425" s="173"/>
      <c r="B425" s="357"/>
      <c r="C425" s="1193">
        <v>3</v>
      </c>
      <c r="D425" s="757"/>
      <c r="E425" s="563" t="s">
        <v>574</v>
      </c>
      <c r="F425" s="952"/>
      <c r="G425" s="766"/>
      <c r="H425" s="767"/>
      <c r="I425" s="767"/>
      <c r="J425" s="767"/>
      <c r="K425" s="768"/>
      <c r="L425" s="769">
        <f>SUM(L426:L431)</f>
        <v>62236</v>
      </c>
      <c r="M425" s="773">
        <f>L425</f>
        <v>62236</v>
      </c>
      <c r="N425" s="2" t="s">
        <v>526</v>
      </c>
    </row>
    <row r="426" spans="1:14" s="92" customFormat="1" ht="27" customHeight="1">
      <c r="A426" s="953"/>
      <c r="B426" s="797"/>
      <c r="C426" s="1213"/>
      <c r="D426" s="954" t="s">
        <v>705</v>
      </c>
      <c r="E426" s="787" t="s">
        <v>44</v>
      </c>
      <c r="F426" s="786"/>
      <c r="G426" s="787"/>
      <c r="H426" s="788"/>
      <c r="I426" s="788"/>
      <c r="J426" s="788"/>
      <c r="K426" s="794"/>
      <c r="L426" s="804">
        <v>15617</v>
      </c>
      <c r="M426" s="805">
        <f>K426+L426</f>
        <v>15617</v>
      </c>
      <c r="N426" s="92" t="s">
        <v>526</v>
      </c>
    </row>
    <row r="427" spans="1:14" s="93" customFormat="1" ht="27.75" customHeight="1">
      <c r="A427" s="953"/>
      <c r="B427" s="797"/>
      <c r="C427" s="1220"/>
      <c r="D427" s="954" t="s">
        <v>705</v>
      </c>
      <c r="E427" s="787" t="s">
        <v>780</v>
      </c>
      <c r="F427" s="786"/>
      <c r="G427" s="787"/>
      <c r="H427" s="788"/>
      <c r="I427" s="788"/>
      <c r="J427" s="788"/>
      <c r="K427" s="794"/>
      <c r="L427" s="804">
        <v>32000</v>
      </c>
      <c r="M427" s="805">
        <f>K427+L427</f>
        <v>32000</v>
      </c>
      <c r="N427" s="93" t="s">
        <v>526</v>
      </c>
    </row>
    <row r="428" spans="1:14" s="92" customFormat="1" ht="25.5" customHeight="1">
      <c r="A428" s="953"/>
      <c r="B428" s="797"/>
      <c r="C428" s="1220"/>
      <c r="D428" s="954" t="s">
        <v>705</v>
      </c>
      <c r="E428" s="787" t="s">
        <v>777</v>
      </c>
      <c r="F428" s="786"/>
      <c r="G428" s="787"/>
      <c r="H428" s="788"/>
      <c r="I428" s="788"/>
      <c r="J428" s="788"/>
      <c r="K428" s="794"/>
      <c r="L428" s="804">
        <v>5596</v>
      </c>
      <c r="M428" s="805">
        <f>K428+L428</f>
        <v>5596</v>
      </c>
      <c r="N428" s="92" t="s">
        <v>526</v>
      </c>
    </row>
    <row r="429" spans="1:14" s="92" customFormat="1" ht="25.5" customHeight="1">
      <c r="A429" s="953"/>
      <c r="B429" s="797"/>
      <c r="C429" s="1220"/>
      <c r="D429" s="954" t="s">
        <v>705</v>
      </c>
      <c r="E429" s="787" t="s">
        <v>781</v>
      </c>
      <c r="F429" s="786"/>
      <c r="G429" s="787"/>
      <c r="H429" s="788"/>
      <c r="I429" s="788"/>
      <c r="J429" s="788"/>
      <c r="K429" s="794"/>
      <c r="L429" s="804">
        <v>6123</v>
      </c>
      <c r="M429" s="805">
        <f>L429+K429</f>
        <v>6123</v>
      </c>
      <c r="N429" s="92" t="s">
        <v>526</v>
      </c>
    </row>
    <row r="430" spans="1:14" s="92" customFormat="1" ht="27.75" customHeight="1">
      <c r="A430" s="953"/>
      <c r="B430" s="797"/>
      <c r="C430" s="1220"/>
      <c r="D430" s="954" t="s">
        <v>705</v>
      </c>
      <c r="E430" s="787" t="s">
        <v>32</v>
      </c>
      <c r="F430" s="786"/>
      <c r="G430" s="787"/>
      <c r="H430" s="788"/>
      <c r="I430" s="788"/>
      <c r="J430" s="788"/>
      <c r="K430" s="794"/>
      <c r="L430" s="804">
        <v>2000</v>
      </c>
      <c r="M430" s="805">
        <f>L430</f>
        <v>2000</v>
      </c>
      <c r="N430" s="92" t="s">
        <v>526</v>
      </c>
    </row>
    <row r="431" spans="1:14" s="92" customFormat="1" ht="27" customHeight="1">
      <c r="A431" s="953"/>
      <c r="B431" s="797"/>
      <c r="C431" s="1220"/>
      <c r="D431" s="954" t="s">
        <v>705</v>
      </c>
      <c r="E431" s="787" t="s">
        <v>33</v>
      </c>
      <c r="F431" s="786"/>
      <c r="G431" s="787"/>
      <c r="H431" s="788"/>
      <c r="I431" s="788"/>
      <c r="J431" s="788"/>
      <c r="K431" s="794"/>
      <c r="L431" s="804">
        <v>900</v>
      </c>
      <c r="M431" s="805">
        <f>L431</f>
        <v>900</v>
      </c>
      <c r="N431" s="92" t="s">
        <v>526</v>
      </c>
    </row>
    <row r="432" spans="1:14" s="2" customFormat="1" ht="34.5" customHeight="1">
      <c r="A432" s="173"/>
      <c r="B432" s="357"/>
      <c r="C432" s="1221">
        <v>4</v>
      </c>
      <c r="D432" s="757"/>
      <c r="E432" s="563" t="s">
        <v>575</v>
      </c>
      <c r="F432" s="952"/>
      <c r="G432" s="766"/>
      <c r="H432" s="767"/>
      <c r="I432" s="767"/>
      <c r="J432" s="767"/>
      <c r="K432" s="768"/>
      <c r="L432" s="769">
        <f>L434+L435</f>
        <v>2200</v>
      </c>
      <c r="M432" s="773">
        <f>M434+M435</f>
        <v>2200</v>
      </c>
      <c r="N432" s="2" t="s">
        <v>526</v>
      </c>
    </row>
    <row r="433" spans="1:13" s="5" customFormat="1" ht="21" customHeight="1">
      <c r="A433" s="364"/>
      <c r="B433" s="365"/>
      <c r="C433" s="1206"/>
      <c r="D433" s="258"/>
      <c r="E433" s="259" t="s">
        <v>706</v>
      </c>
      <c r="F433" s="260"/>
      <c r="G433" s="955"/>
      <c r="H433" s="411"/>
      <c r="I433" s="411"/>
      <c r="J433" s="411"/>
      <c r="K433" s="819"/>
      <c r="L433" s="804"/>
      <c r="M433" s="805"/>
    </row>
    <row r="434" spans="1:14" s="92" customFormat="1" ht="27" customHeight="1">
      <c r="A434" s="953"/>
      <c r="B434" s="797"/>
      <c r="C434" s="1213"/>
      <c r="D434" s="954" t="s">
        <v>705</v>
      </c>
      <c r="E434" s="787" t="s">
        <v>44</v>
      </c>
      <c r="F434" s="786"/>
      <c r="G434" s="787"/>
      <c r="H434" s="788"/>
      <c r="I434" s="788"/>
      <c r="J434" s="788"/>
      <c r="K434" s="794"/>
      <c r="L434" s="804">
        <v>100</v>
      </c>
      <c r="M434" s="805">
        <f>K434+L434</f>
        <v>100</v>
      </c>
      <c r="N434" s="92" t="s">
        <v>526</v>
      </c>
    </row>
    <row r="435" spans="1:14" s="92" customFormat="1" ht="27" customHeight="1">
      <c r="A435" s="953"/>
      <c r="B435" s="797"/>
      <c r="C435" s="1213"/>
      <c r="D435" s="954" t="s">
        <v>705</v>
      </c>
      <c r="E435" s="787" t="s">
        <v>780</v>
      </c>
      <c r="F435" s="786"/>
      <c r="G435" s="787"/>
      <c r="H435" s="788"/>
      <c r="I435" s="788"/>
      <c r="J435" s="788"/>
      <c r="K435" s="794"/>
      <c r="L435" s="804">
        <v>2100</v>
      </c>
      <c r="M435" s="805">
        <f>K435+L435</f>
        <v>2100</v>
      </c>
      <c r="N435" s="92" t="s">
        <v>526</v>
      </c>
    </row>
    <row r="436" spans="1:14" s="2" customFormat="1" ht="34.5" customHeight="1">
      <c r="A436" s="173"/>
      <c r="B436" s="357"/>
      <c r="C436" s="1221">
        <v>5</v>
      </c>
      <c r="D436" s="757"/>
      <c r="E436" s="563" t="s">
        <v>576</v>
      </c>
      <c r="F436" s="952"/>
      <c r="G436" s="766"/>
      <c r="H436" s="767"/>
      <c r="I436" s="767"/>
      <c r="J436" s="767"/>
      <c r="K436" s="768"/>
      <c r="L436" s="769">
        <f>L438+L439</f>
        <v>30000</v>
      </c>
      <c r="M436" s="773">
        <f>M438+M439</f>
        <v>30000</v>
      </c>
      <c r="N436" s="2" t="s">
        <v>526</v>
      </c>
    </row>
    <row r="437" spans="1:13" s="51" customFormat="1" ht="43.5" customHeight="1">
      <c r="A437" s="956">
        <v>12</v>
      </c>
      <c r="B437" s="957">
        <v>851</v>
      </c>
      <c r="C437" s="1222"/>
      <c r="D437" s="958"/>
      <c r="E437" s="959" t="s">
        <v>36</v>
      </c>
      <c r="F437" s="960">
        <f>F438+F441</f>
        <v>0</v>
      </c>
      <c r="G437" s="960">
        <f aca="true" t="shared" si="69" ref="G437:M437">G438+G441</f>
        <v>0</v>
      </c>
      <c r="H437" s="960">
        <f t="shared" si="69"/>
        <v>0</v>
      </c>
      <c r="I437" s="960">
        <f t="shared" si="69"/>
        <v>0</v>
      </c>
      <c r="J437" s="960">
        <f t="shared" si="69"/>
        <v>0</v>
      </c>
      <c r="K437" s="960">
        <f t="shared" si="69"/>
        <v>0</v>
      </c>
      <c r="L437" s="960">
        <f t="shared" si="69"/>
        <v>291000</v>
      </c>
      <c r="M437" s="960">
        <f t="shared" si="69"/>
        <v>291000</v>
      </c>
    </row>
    <row r="438" spans="1:13" s="38" customFormat="1" ht="44.25" customHeight="1">
      <c r="A438" s="400"/>
      <c r="B438" s="327">
        <v>85153</v>
      </c>
      <c r="C438" s="1160"/>
      <c r="D438" s="328"/>
      <c r="E438" s="329" t="s">
        <v>792</v>
      </c>
      <c r="F438" s="330">
        <f>F439+F440</f>
        <v>0</v>
      </c>
      <c r="G438" s="331">
        <f aca="true" t="shared" si="70" ref="G438:M438">G439+G440</f>
        <v>0</v>
      </c>
      <c r="H438" s="331">
        <f t="shared" si="70"/>
        <v>0</v>
      </c>
      <c r="I438" s="331">
        <f t="shared" si="70"/>
        <v>0</v>
      </c>
      <c r="J438" s="331">
        <f t="shared" si="70"/>
        <v>0</v>
      </c>
      <c r="K438" s="331">
        <f t="shared" si="70"/>
        <v>0</v>
      </c>
      <c r="L438" s="331">
        <f t="shared" si="70"/>
        <v>25000</v>
      </c>
      <c r="M438" s="331">
        <f t="shared" si="70"/>
        <v>25000</v>
      </c>
    </row>
    <row r="439" spans="1:14" s="46" customFormat="1" ht="39.75" customHeight="1">
      <c r="A439" s="400"/>
      <c r="B439" s="316"/>
      <c r="C439" s="1157">
        <v>1</v>
      </c>
      <c r="D439" s="437"/>
      <c r="E439" s="961" t="s">
        <v>793</v>
      </c>
      <c r="F439" s="962"/>
      <c r="G439" s="963"/>
      <c r="H439" s="964"/>
      <c r="I439" s="964"/>
      <c r="J439" s="962"/>
      <c r="K439" s="962"/>
      <c r="L439" s="965">
        <v>5000</v>
      </c>
      <c r="M439" s="966">
        <v>5000</v>
      </c>
      <c r="N439" s="46" t="s">
        <v>526</v>
      </c>
    </row>
    <row r="440" spans="1:14" s="47" customFormat="1" ht="105" customHeight="1">
      <c r="A440" s="400"/>
      <c r="B440" s="967"/>
      <c r="C440" s="1158">
        <v>2</v>
      </c>
      <c r="D440" s="968"/>
      <c r="E440" s="969" t="s">
        <v>37</v>
      </c>
      <c r="F440" s="970"/>
      <c r="G440" s="971"/>
      <c r="H440" s="972"/>
      <c r="I440" s="972"/>
      <c r="J440" s="970"/>
      <c r="K440" s="970"/>
      <c r="L440" s="973">
        <v>20000</v>
      </c>
      <c r="M440" s="974">
        <v>20000</v>
      </c>
      <c r="N440" s="47" t="s">
        <v>526</v>
      </c>
    </row>
    <row r="441" spans="1:13" s="38" customFormat="1" ht="45" customHeight="1">
      <c r="A441" s="400"/>
      <c r="B441" s="327">
        <v>85154</v>
      </c>
      <c r="C441" s="1160"/>
      <c r="D441" s="328"/>
      <c r="E441" s="329" t="s">
        <v>763</v>
      </c>
      <c r="F441" s="330">
        <f>SUM(F442:F455)</f>
        <v>0</v>
      </c>
      <c r="G441" s="330">
        <f aca="true" t="shared" si="71" ref="G441:M441">SUM(G442:G455)</f>
        <v>0</v>
      </c>
      <c r="H441" s="330">
        <f t="shared" si="71"/>
        <v>0</v>
      </c>
      <c r="I441" s="330">
        <f t="shared" si="71"/>
        <v>0</v>
      </c>
      <c r="J441" s="330">
        <f t="shared" si="71"/>
        <v>0</v>
      </c>
      <c r="K441" s="330">
        <f t="shared" si="71"/>
        <v>0</v>
      </c>
      <c r="L441" s="330">
        <f t="shared" si="71"/>
        <v>266000</v>
      </c>
      <c r="M441" s="330">
        <f t="shared" si="71"/>
        <v>266000</v>
      </c>
    </row>
    <row r="442" spans="1:14" s="28" customFormat="1" ht="27.75" customHeight="1">
      <c r="A442" s="975"/>
      <c r="B442" s="976"/>
      <c r="C442" s="1157">
        <v>1</v>
      </c>
      <c r="D442" s="977"/>
      <c r="E442" s="977" t="s">
        <v>38</v>
      </c>
      <c r="F442" s="339"/>
      <c r="G442" s="978"/>
      <c r="H442" s="979"/>
      <c r="I442" s="979"/>
      <c r="J442" s="339"/>
      <c r="K442" s="339"/>
      <c r="L442" s="965">
        <v>27000</v>
      </c>
      <c r="M442" s="966">
        <v>27000</v>
      </c>
      <c r="N442" s="28" t="s">
        <v>526</v>
      </c>
    </row>
    <row r="443" spans="1:14" s="115" customFormat="1" ht="30" customHeight="1">
      <c r="A443" s="975"/>
      <c r="B443" s="976"/>
      <c r="C443" s="1153">
        <v>2</v>
      </c>
      <c r="D443" s="222"/>
      <c r="E443" s="222" t="s">
        <v>39</v>
      </c>
      <c r="F443" s="224"/>
      <c r="G443" s="980"/>
      <c r="H443" s="981"/>
      <c r="I443" s="981"/>
      <c r="J443" s="224"/>
      <c r="K443" s="224"/>
      <c r="L443" s="982">
        <v>3000</v>
      </c>
      <c r="M443" s="983">
        <v>3000</v>
      </c>
      <c r="N443" s="115" t="s">
        <v>526</v>
      </c>
    </row>
    <row r="444" spans="1:14" s="115" customFormat="1" ht="63" customHeight="1">
      <c r="A444" s="975"/>
      <c r="B444" s="976"/>
      <c r="C444" s="1153">
        <v>3</v>
      </c>
      <c r="D444" s="222"/>
      <c r="E444" s="984" t="s">
        <v>40</v>
      </c>
      <c r="F444" s="224"/>
      <c r="G444" s="980"/>
      <c r="H444" s="981"/>
      <c r="I444" s="981"/>
      <c r="J444" s="224"/>
      <c r="K444" s="224"/>
      <c r="L444" s="982">
        <v>1000</v>
      </c>
      <c r="M444" s="983">
        <v>1000</v>
      </c>
      <c r="N444" s="115" t="s">
        <v>526</v>
      </c>
    </row>
    <row r="445" spans="1:14" s="115" customFormat="1" ht="45" customHeight="1">
      <c r="A445" s="975"/>
      <c r="B445" s="976"/>
      <c r="C445" s="1153">
        <v>4</v>
      </c>
      <c r="D445" s="222"/>
      <c r="E445" s="222" t="s">
        <v>794</v>
      </c>
      <c r="F445" s="224"/>
      <c r="G445" s="980"/>
      <c r="H445" s="981"/>
      <c r="I445" s="981"/>
      <c r="J445" s="224"/>
      <c r="K445" s="224"/>
      <c r="L445" s="982">
        <v>2500</v>
      </c>
      <c r="M445" s="983">
        <v>2500</v>
      </c>
      <c r="N445" s="115" t="s">
        <v>526</v>
      </c>
    </row>
    <row r="446" spans="1:14" s="115" customFormat="1" ht="104.25" customHeight="1">
      <c r="A446" s="975"/>
      <c r="B446" s="976"/>
      <c r="C446" s="1153">
        <v>5</v>
      </c>
      <c r="D446" s="222"/>
      <c r="E446" s="223" t="s">
        <v>648</v>
      </c>
      <c r="F446" s="224"/>
      <c r="G446" s="980"/>
      <c r="H446" s="981"/>
      <c r="I446" s="981"/>
      <c r="J446" s="224"/>
      <c r="K446" s="224"/>
      <c r="L446" s="982">
        <v>70000</v>
      </c>
      <c r="M446" s="983">
        <f>L446</f>
        <v>70000</v>
      </c>
      <c r="N446" s="115" t="s">
        <v>526</v>
      </c>
    </row>
    <row r="447" spans="1:14" s="115" customFormat="1" ht="101.25" customHeight="1">
      <c r="A447" s="975"/>
      <c r="B447" s="976"/>
      <c r="C447" s="1153">
        <v>6</v>
      </c>
      <c r="D447" s="222"/>
      <c r="E447" s="223" t="s">
        <v>795</v>
      </c>
      <c r="F447" s="224"/>
      <c r="G447" s="980"/>
      <c r="H447" s="981"/>
      <c r="I447" s="981"/>
      <c r="J447" s="224"/>
      <c r="K447" s="224"/>
      <c r="L447" s="982">
        <v>5100</v>
      </c>
      <c r="M447" s="983">
        <f>L447</f>
        <v>5100</v>
      </c>
      <c r="N447" s="115" t="s">
        <v>526</v>
      </c>
    </row>
    <row r="448" spans="1:14" s="115" customFormat="1" ht="36" customHeight="1">
      <c r="A448" s="975"/>
      <c r="B448" s="976"/>
      <c r="C448" s="1153">
        <v>7</v>
      </c>
      <c r="D448" s="222"/>
      <c r="E448" s="222" t="s">
        <v>41</v>
      </c>
      <c r="F448" s="224"/>
      <c r="G448" s="980"/>
      <c r="H448" s="981"/>
      <c r="I448" s="981"/>
      <c r="J448" s="224"/>
      <c r="K448" s="224"/>
      <c r="L448" s="982">
        <v>2000</v>
      </c>
      <c r="M448" s="983">
        <v>2000</v>
      </c>
      <c r="N448" s="115" t="s">
        <v>526</v>
      </c>
    </row>
    <row r="449" spans="1:14" s="115" customFormat="1" ht="33" customHeight="1">
      <c r="A449" s="975"/>
      <c r="B449" s="976"/>
      <c r="C449" s="1153">
        <v>8</v>
      </c>
      <c r="D449" s="222"/>
      <c r="E449" s="223" t="s">
        <v>42</v>
      </c>
      <c r="F449" s="224"/>
      <c r="G449" s="980"/>
      <c r="H449" s="981"/>
      <c r="I449" s="981"/>
      <c r="J449" s="224"/>
      <c r="K449" s="224"/>
      <c r="L449" s="982">
        <v>28000</v>
      </c>
      <c r="M449" s="983">
        <v>28000</v>
      </c>
      <c r="N449" s="115" t="s">
        <v>526</v>
      </c>
    </row>
    <row r="450" spans="1:14" s="115" customFormat="1" ht="81" customHeight="1">
      <c r="A450" s="975"/>
      <c r="B450" s="976"/>
      <c r="C450" s="1153">
        <v>9</v>
      </c>
      <c r="D450" s="222"/>
      <c r="E450" s="223" t="s">
        <v>723</v>
      </c>
      <c r="F450" s="224"/>
      <c r="G450" s="980"/>
      <c r="H450" s="981"/>
      <c r="I450" s="981"/>
      <c r="J450" s="224"/>
      <c r="K450" s="224"/>
      <c r="L450" s="982">
        <v>105000</v>
      </c>
      <c r="M450" s="983">
        <f>L450</f>
        <v>105000</v>
      </c>
      <c r="N450" s="115" t="s">
        <v>526</v>
      </c>
    </row>
    <row r="451" spans="1:14" s="115" customFormat="1" ht="81" customHeight="1">
      <c r="A451" s="975"/>
      <c r="B451" s="976"/>
      <c r="C451" s="1153">
        <v>10</v>
      </c>
      <c r="D451" s="222"/>
      <c r="E451" s="223" t="s">
        <v>563</v>
      </c>
      <c r="F451" s="224"/>
      <c r="G451" s="980"/>
      <c r="H451" s="981"/>
      <c r="I451" s="981"/>
      <c r="J451" s="224"/>
      <c r="K451" s="224"/>
      <c r="L451" s="982">
        <v>15000</v>
      </c>
      <c r="M451" s="983">
        <f>L451</f>
        <v>15000</v>
      </c>
      <c r="N451" s="115" t="s">
        <v>526</v>
      </c>
    </row>
    <row r="452" spans="1:14" s="28" customFormat="1" ht="67.5" customHeight="1">
      <c r="A452" s="975"/>
      <c r="B452" s="976"/>
      <c r="C452" s="1153">
        <v>11</v>
      </c>
      <c r="D452" s="222"/>
      <c r="E452" s="223" t="s">
        <v>98</v>
      </c>
      <c r="F452" s="224"/>
      <c r="G452" s="980"/>
      <c r="H452" s="981"/>
      <c r="I452" s="981"/>
      <c r="J452" s="224"/>
      <c r="K452" s="224"/>
      <c r="L452" s="982">
        <v>3000</v>
      </c>
      <c r="M452" s="983">
        <f>L452</f>
        <v>3000</v>
      </c>
      <c r="N452" s="28" t="s">
        <v>526</v>
      </c>
    </row>
    <row r="453" spans="1:14" s="115" customFormat="1" ht="106.5" customHeight="1">
      <c r="A453" s="975"/>
      <c r="B453" s="976"/>
      <c r="C453" s="1157">
        <v>12</v>
      </c>
      <c r="D453" s="977"/>
      <c r="E453" s="422" t="s">
        <v>744</v>
      </c>
      <c r="F453" s="985"/>
      <c r="G453" s="986"/>
      <c r="H453" s="987"/>
      <c r="I453" s="987"/>
      <c r="J453" s="985"/>
      <c r="K453" s="985"/>
      <c r="L453" s="988">
        <v>1200</v>
      </c>
      <c r="M453" s="989">
        <v>1200</v>
      </c>
      <c r="N453" s="115" t="s">
        <v>526</v>
      </c>
    </row>
    <row r="454" spans="1:14" s="115" customFormat="1" ht="81.75" customHeight="1">
      <c r="A454" s="975"/>
      <c r="B454" s="976"/>
      <c r="C454" s="1154">
        <v>13</v>
      </c>
      <c r="D454" s="229"/>
      <c r="E454" s="230" t="s">
        <v>564</v>
      </c>
      <c r="F454" s="231"/>
      <c r="G454" s="990"/>
      <c r="H454" s="991"/>
      <c r="I454" s="991"/>
      <c r="J454" s="231"/>
      <c r="K454" s="231"/>
      <c r="L454" s="992">
        <v>1200</v>
      </c>
      <c r="M454" s="993">
        <v>1200</v>
      </c>
      <c r="N454" s="115" t="s">
        <v>526</v>
      </c>
    </row>
    <row r="455" spans="1:14" s="115" customFormat="1" ht="111.75" customHeight="1">
      <c r="A455" s="994"/>
      <c r="B455" s="995"/>
      <c r="C455" s="1158">
        <v>14</v>
      </c>
      <c r="D455" s="996"/>
      <c r="E455" s="969" t="s">
        <v>543</v>
      </c>
      <c r="F455" s="997"/>
      <c r="G455" s="998"/>
      <c r="H455" s="999"/>
      <c r="I455" s="999"/>
      <c r="J455" s="997"/>
      <c r="K455" s="997"/>
      <c r="L455" s="973">
        <v>2000</v>
      </c>
      <c r="M455" s="974">
        <f>L455</f>
        <v>2000</v>
      </c>
      <c r="N455" s="115" t="s">
        <v>526</v>
      </c>
    </row>
    <row r="456" spans="1:13" s="51" customFormat="1" ht="47.25" customHeight="1">
      <c r="A456" s="1000">
        <v>13</v>
      </c>
      <c r="B456" s="957">
        <v>852</v>
      </c>
      <c r="C456" s="1222"/>
      <c r="D456" s="958"/>
      <c r="E456" s="959" t="s">
        <v>35</v>
      </c>
      <c r="F456" s="960">
        <f>F457+F459+F461+F463+F467+F469+F475</f>
        <v>7397052</v>
      </c>
      <c r="G456" s="960">
        <f aca="true" t="shared" si="72" ref="G456:M456">G457+G459+G461+G463+G467+G469+G475</f>
        <v>670270</v>
      </c>
      <c r="H456" s="960">
        <f t="shared" si="72"/>
        <v>0</v>
      </c>
      <c r="I456" s="960">
        <f t="shared" si="72"/>
        <v>0</v>
      </c>
      <c r="J456" s="960">
        <f t="shared" si="72"/>
        <v>0</v>
      </c>
      <c r="K456" s="960">
        <f t="shared" si="72"/>
        <v>0</v>
      </c>
      <c r="L456" s="960">
        <f t="shared" si="72"/>
        <v>2727328</v>
      </c>
      <c r="M456" s="960">
        <f t="shared" si="72"/>
        <v>10794650</v>
      </c>
    </row>
    <row r="457" spans="1:14" s="94" customFormat="1" ht="40.5" customHeight="1">
      <c r="A457" s="885"/>
      <c r="B457" s="353" t="s">
        <v>796</v>
      </c>
      <c r="C457" s="1223"/>
      <c r="D457" s="1001"/>
      <c r="E457" s="355" t="s">
        <v>797</v>
      </c>
      <c r="F457" s="456">
        <f>F458</f>
        <v>844000</v>
      </c>
      <c r="G457" s="456">
        <f aca="true" t="shared" si="73" ref="G457:M457">G458</f>
        <v>0</v>
      </c>
      <c r="H457" s="456">
        <f t="shared" si="73"/>
        <v>0</v>
      </c>
      <c r="I457" s="456">
        <f t="shared" si="73"/>
        <v>0</v>
      </c>
      <c r="J457" s="456">
        <f t="shared" si="73"/>
        <v>0</v>
      </c>
      <c r="K457" s="456">
        <f t="shared" si="73"/>
        <v>0</v>
      </c>
      <c r="L457" s="456">
        <f t="shared" si="73"/>
        <v>0</v>
      </c>
      <c r="M457" s="456">
        <f t="shared" si="73"/>
        <v>844000</v>
      </c>
      <c r="N457" s="94" t="s">
        <v>526</v>
      </c>
    </row>
    <row r="458" spans="1:14" s="71" customFormat="1" ht="82.5" customHeight="1">
      <c r="A458" s="885"/>
      <c r="B458" s="1002"/>
      <c r="C458" s="1224" t="s">
        <v>682</v>
      </c>
      <c r="D458" s="1003"/>
      <c r="E458" s="1004" t="s">
        <v>577</v>
      </c>
      <c r="F458" s="1005">
        <v>844000</v>
      </c>
      <c r="G458" s="1006"/>
      <c r="H458" s="1007"/>
      <c r="I458" s="1007"/>
      <c r="J458" s="1007"/>
      <c r="K458" s="1008"/>
      <c r="L458" s="1009"/>
      <c r="M458" s="1010">
        <f>SUM(F458:L458)</f>
        <v>844000</v>
      </c>
      <c r="N458" s="71" t="s">
        <v>526</v>
      </c>
    </row>
    <row r="459" spans="1:14" s="75" customFormat="1" ht="50.25" customHeight="1">
      <c r="A459" s="885"/>
      <c r="B459" s="1011" t="s">
        <v>798</v>
      </c>
      <c r="C459" s="1207"/>
      <c r="D459" s="887"/>
      <c r="E459" s="888" t="s">
        <v>799</v>
      </c>
      <c r="F459" s="456">
        <f>F460</f>
        <v>6398052</v>
      </c>
      <c r="G459" s="456">
        <f aca="true" t="shared" si="74" ref="G459:M459">G460</f>
        <v>0</v>
      </c>
      <c r="H459" s="456">
        <f t="shared" si="74"/>
        <v>0</v>
      </c>
      <c r="I459" s="456">
        <f t="shared" si="74"/>
        <v>0</v>
      </c>
      <c r="J459" s="456">
        <f t="shared" si="74"/>
        <v>0</v>
      </c>
      <c r="K459" s="456">
        <f t="shared" si="74"/>
        <v>0</v>
      </c>
      <c r="L459" s="456">
        <f t="shared" si="74"/>
        <v>0</v>
      </c>
      <c r="M459" s="456">
        <f t="shared" si="74"/>
        <v>6398052</v>
      </c>
      <c r="N459" s="75" t="s">
        <v>526</v>
      </c>
    </row>
    <row r="460" spans="1:14" s="95" customFormat="1" ht="92.25" customHeight="1">
      <c r="A460" s="885"/>
      <c r="B460" s="1002"/>
      <c r="C460" s="1224" t="s">
        <v>682</v>
      </c>
      <c r="D460" s="1003"/>
      <c r="E460" s="1012" t="s">
        <v>800</v>
      </c>
      <c r="F460" s="1013">
        <v>6398052</v>
      </c>
      <c r="G460" s="1014"/>
      <c r="H460" s="1009"/>
      <c r="I460" s="1009"/>
      <c r="J460" s="1009"/>
      <c r="K460" s="1008"/>
      <c r="L460" s="1009"/>
      <c r="M460" s="1015">
        <f>SUM(F460:L460)</f>
        <v>6398052</v>
      </c>
      <c r="N460" s="95" t="s">
        <v>526</v>
      </c>
    </row>
    <row r="461" spans="1:14" s="75" customFormat="1" ht="78.75" customHeight="1">
      <c r="A461" s="774"/>
      <c r="B461" s="886">
        <v>85213</v>
      </c>
      <c r="C461" s="1210"/>
      <c r="D461" s="899"/>
      <c r="E461" s="900" t="s">
        <v>78</v>
      </c>
      <c r="F461" s="456">
        <f>F462</f>
        <v>15000</v>
      </c>
      <c r="G461" s="456">
        <f aca="true" t="shared" si="75" ref="G461:M461">G462</f>
        <v>0</v>
      </c>
      <c r="H461" s="456">
        <f t="shared" si="75"/>
        <v>0</v>
      </c>
      <c r="I461" s="456">
        <f t="shared" si="75"/>
        <v>0</v>
      </c>
      <c r="J461" s="456">
        <f t="shared" si="75"/>
        <v>0</v>
      </c>
      <c r="K461" s="456">
        <f t="shared" si="75"/>
        <v>0</v>
      </c>
      <c r="L461" s="456">
        <f t="shared" si="75"/>
        <v>0</v>
      </c>
      <c r="M461" s="456">
        <f t="shared" si="75"/>
        <v>15000</v>
      </c>
      <c r="N461" s="75" t="s">
        <v>526</v>
      </c>
    </row>
    <row r="462" spans="1:14" s="95" customFormat="1" ht="84" customHeight="1">
      <c r="A462" s="885"/>
      <c r="B462" s="1002"/>
      <c r="C462" s="1224" t="s">
        <v>682</v>
      </c>
      <c r="D462" s="1003"/>
      <c r="E462" s="1012" t="s">
        <v>79</v>
      </c>
      <c r="F462" s="1013">
        <v>15000</v>
      </c>
      <c r="G462" s="1014"/>
      <c r="H462" s="1009"/>
      <c r="I462" s="1009"/>
      <c r="J462" s="1009"/>
      <c r="K462" s="1008"/>
      <c r="L462" s="1009"/>
      <c r="M462" s="1015">
        <f>SUM(F462:L462)</f>
        <v>15000</v>
      </c>
      <c r="N462" s="95" t="s">
        <v>526</v>
      </c>
    </row>
    <row r="463" spans="1:14" s="75" customFormat="1" ht="51" customHeight="1">
      <c r="A463" s="774"/>
      <c r="B463" s="886" t="s">
        <v>80</v>
      </c>
      <c r="C463" s="1210"/>
      <c r="D463" s="899"/>
      <c r="E463" s="900" t="s">
        <v>81</v>
      </c>
      <c r="F463" s="456">
        <f>F464+F465+F466</f>
        <v>140000</v>
      </c>
      <c r="G463" s="456">
        <f aca="true" t="shared" si="76" ref="G463:M463">G464+G465+G466</f>
        <v>290000</v>
      </c>
      <c r="H463" s="456">
        <f t="shared" si="76"/>
        <v>0</v>
      </c>
      <c r="I463" s="456">
        <f t="shared" si="76"/>
        <v>0</v>
      </c>
      <c r="J463" s="456">
        <f t="shared" si="76"/>
        <v>0</v>
      </c>
      <c r="K463" s="456">
        <f t="shared" si="76"/>
        <v>0</v>
      </c>
      <c r="L463" s="456">
        <f t="shared" si="76"/>
        <v>348000</v>
      </c>
      <c r="M463" s="456">
        <f t="shared" si="76"/>
        <v>778000</v>
      </c>
      <c r="N463" s="75" t="s">
        <v>526</v>
      </c>
    </row>
    <row r="464" spans="1:14" s="95" customFormat="1" ht="85.5" customHeight="1">
      <c r="A464" s="774"/>
      <c r="B464" s="357"/>
      <c r="C464" s="1215" t="s">
        <v>682</v>
      </c>
      <c r="D464" s="931"/>
      <c r="E464" s="1016" t="s">
        <v>82</v>
      </c>
      <c r="F464" s="192">
        <v>140000</v>
      </c>
      <c r="G464" s="1017"/>
      <c r="H464" s="194"/>
      <c r="I464" s="194"/>
      <c r="J464" s="194"/>
      <c r="K464" s="193"/>
      <c r="L464" s="194"/>
      <c r="M464" s="1010">
        <f>SUM(F464:L464)</f>
        <v>140000</v>
      </c>
      <c r="N464" s="95" t="s">
        <v>526</v>
      </c>
    </row>
    <row r="465" spans="1:14" s="75" customFormat="1" ht="69" customHeight="1">
      <c r="A465" s="774"/>
      <c r="B465" s="357"/>
      <c r="C465" s="1217" t="s">
        <v>700</v>
      </c>
      <c r="D465" s="943"/>
      <c r="E465" s="1016" t="s">
        <v>83</v>
      </c>
      <c r="F465" s="183"/>
      <c r="G465" s="184">
        <v>290000</v>
      </c>
      <c r="H465" s="185"/>
      <c r="I465" s="185"/>
      <c r="J465" s="185"/>
      <c r="K465" s="186"/>
      <c r="L465" s="185"/>
      <c r="M465" s="200">
        <f>SUM(F465:L465)</f>
        <v>290000</v>
      </c>
      <c r="N465" s="75" t="s">
        <v>526</v>
      </c>
    </row>
    <row r="466" spans="1:14" s="95" customFormat="1" ht="55.5" customHeight="1">
      <c r="A466" s="774"/>
      <c r="B466" s="357"/>
      <c r="C466" s="1225" t="s">
        <v>701</v>
      </c>
      <c r="D466" s="1018"/>
      <c r="E466" s="1019" t="s">
        <v>84</v>
      </c>
      <c r="F466" s="1020"/>
      <c r="G466" s="1021"/>
      <c r="H466" s="929"/>
      <c r="I466" s="929"/>
      <c r="J466" s="929"/>
      <c r="K466" s="1022"/>
      <c r="L466" s="929">
        <v>348000</v>
      </c>
      <c r="M466" s="1023">
        <f>H466+I466+J466+K466+L466</f>
        <v>348000</v>
      </c>
      <c r="N466" s="95" t="s">
        <v>526</v>
      </c>
    </row>
    <row r="467" spans="1:13" s="38" customFormat="1" ht="43.5" customHeight="1">
      <c r="A467" s="1024"/>
      <c r="B467" s="327">
        <v>85215</v>
      </c>
      <c r="C467" s="1160"/>
      <c r="D467" s="329"/>
      <c r="E467" s="329" t="s">
        <v>85</v>
      </c>
      <c r="F467" s="1025">
        <f>F468</f>
        <v>0</v>
      </c>
      <c r="G467" s="1025">
        <f aca="true" t="shared" si="77" ref="G467:M467">G468</f>
        <v>0</v>
      </c>
      <c r="H467" s="1025">
        <f t="shared" si="77"/>
        <v>0</v>
      </c>
      <c r="I467" s="1025">
        <f t="shared" si="77"/>
        <v>0</v>
      </c>
      <c r="J467" s="1025">
        <f t="shared" si="77"/>
        <v>0</v>
      </c>
      <c r="K467" s="1025">
        <f t="shared" si="77"/>
        <v>0</v>
      </c>
      <c r="L467" s="1025">
        <f t="shared" si="77"/>
        <v>1600000</v>
      </c>
      <c r="M467" s="1025">
        <f t="shared" si="77"/>
        <v>1600000</v>
      </c>
    </row>
    <row r="468" spans="1:14" s="52" customFormat="1" ht="43.5" customHeight="1">
      <c r="A468" s="1026"/>
      <c r="B468" s="1027"/>
      <c r="C468" s="1172">
        <v>1</v>
      </c>
      <c r="D468" s="1028"/>
      <c r="E468" s="1029" t="s">
        <v>86</v>
      </c>
      <c r="F468" s="1030"/>
      <c r="G468" s="1031"/>
      <c r="H468" s="1030"/>
      <c r="I468" s="1030"/>
      <c r="J468" s="1030"/>
      <c r="K468" s="1030"/>
      <c r="L468" s="1032">
        <v>1600000</v>
      </c>
      <c r="M468" s="1032">
        <f>L468</f>
        <v>1600000</v>
      </c>
      <c r="N468" s="52" t="s">
        <v>526</v>
      </c>
    </row>
    <row r="469" spans="1:14" s="75" customFormat="1" ht="48.75" customHeight="1">
      <c r="A469" s="774"/>
      <c r="B469" s="886" t="s">
        <v>87</v>
      </c>
      <c r="C469" s="1210"/>
      <c r="D469" s="899"/>
      <c r="E469" s="900" t="s">
        <v>88</v>
      </c>
      <c r="F469" s="1033">
        <f>F470+F471</f>
        <v>0</v>
      </c>
      <c r="G469" s="1033">
        <f aca="true" t="shared" si="78" ref="G469:M469">G470+G471</f>
        <v>380270</v>
      </c>
      <c r="H469" s="1033">
        <f t="shared" si="78"/>
        <v>0</v>
      </c>
      <c r="I469" s="1033">
        <f t="shared" si="78"/>
        <v>0</v>
      </c>
      <c r="J469" s="1033">
        <f t="shared" si="78"/>
        <v>0</v>
      </c>
      <c r="K469" s="1033">
        <f t="shared" si="78"/>
        <v>0</v>
      </c>
      <c r="L469" s="1033">
        <f t="shared" si="78"/>
        <v>773328</v>
      </c>
      <c r="M469" s="1034">
        <f t="shared" si="78"/>
        <v>1153598</v>
      </c>
      <c r="N469" s="75" t="s">
        <v>526</v>
      </c>
    </row>
    <row r="470" spans="1:14" s="74" customFormat="1" ht="80.25" customHeight="1">
      <c r="A470" s="774"/>
      <c r="B470" s="357"/>
      <c r="C470" s="1215" t="s">
        <v>682</v>
      </c>
      <c r="D470" s="931"/>
      <c r="E470" s="1016" t="s">
        <v>89</v>
      </c>
      <c r="F470" s="194"/>
      <c r="G470" s="1017">
        <v>380270</v>
      </c>
      <c r="H470" s="194"/>
      <c r="I470" s="194"/>
      <c r="J470" s="194"/>
      <c r="K470" s="193"/>
      <c r="L470" s="194"/>
      <c r="M470" s="1035">
        <f>SUM(F470:L470)</f>
        <v>380270</v>
      </c>
      <c r="N470" s="74" t="s">
        <v>526</v>
      </c>
    </row>
    <row r="471" spans="1:14" s="75" customFormat="1" ht="54" customHeight="1">
      <c r="A471" s="774"/>
      <c r="B471" s="357"/>
      <c r="C471" s="1226" t="s">
        <v>700</v>
      </c>
      <c r="D471" s="1036"/>
      <c r="E471" s="1037" t="s">
        <v>90</v>
      </c>
      <c r="F471" s="1038"/>
      <c r="G471" s="1039"/>
      <c r="H471" s="1038"/>
      <c r="I471" s="1038"/>
      <c r="J471" s="1038"/>
      <c r="K471" s="170"/>
      <c r="L471" s="171">
        <f>753328+L473</f>
        <v>773328</v>
      </c>
      <c r="M471" s="172">
        <f>K471+L471</f>
        <v>773328</v>
      </c>
      <c r="N471" s="75" t="s">
        <v>526</v>
      </c>
    </row>
    <row r="472" spans="1:14" s="95" customFormat="1" ht="26.25" customHeight="1">
      <c r="A472" s="774"/>
      <c r="B472" s="357"/>
      <c r="C472" s="1217"/>
      <c r="D472" s="943"/>
      <c r="E472" s="955" t="s">
        <v>1018</v>
      </c>
      <c r="F472" s="804"/>
      <c r="G472" s="1040"/>
      <c r="H472" s="804"/>
      <c r="I472" s="804"/>
      <c r="J472" s="804"/>
      <c r="K472" s="186"/>
      <c r="L472" s="185"/>
      <c r="M472" s="187"/>
      <c r="N472" s="95" t="s">
        <v>526</v>
      </c>
    </row>
    <row r="473" spans="1:14" s="74" customFormat="1" ht="34.5" customHeight="1">
      <c r="A473" s="1041"/>
      <c r="B473" s="365"/>
      <c r="C473" s="1217"/>
      <c r="D473" s="1042"/>
      <c r="E473" s="1043" t="s">
        <v>91</v>
      </c>
      <c r="F473" s="1044"/>
      <c r="G473" s="1045"/>
      <c r="H473" s="1044"/>
      <c r="I473" s="1044"/>
      <c r="J473" s="1044"/>
      <c r="K473" s="1046"/>
      <c r="L473" s="795">
        <f>L474</f>
        <v>20000</v>
      </c>
      <c r="M473" s="796">
        <f>SUM(M474:M474)</f>
        <v>20000</v>
      </c>
      <c r="N473" s="74" t="s">
        <v>526</v>
      </c>
    </row>
    <row r="474" spans="1:14" s="74" customFormat="1" ht="33.75" customHeight="1">
      <c r="A474" s="1041"/>
      <c r="B474" s="365"/>
      <c r="C474" s="1217"/>
      <c r="D474" s="1042"/>
      <c r="E474" s="955" t="s">
        <v>578</v>
      </c>
      <c r="F474" s="804"/>
      <c r="G474" s="1040"/>
      <c r="H474" s="804"/>
      <c r="I474" s="804"/>
      <c r="J474" s="804"/>
      <c r="K474" s="819"/>
      <c r="L474" s="804">
        <v>20000</v>
      </c>
      <c r="M474" s="805">
        <f>L474</f>
        <v>20000</v>
      </c>
      <c r="N474" s="74" t="s">
        <v>526</v>
      </c>
    </row>
    <row r="475" spans="1:14" s="75" customFormat="1" ht="48.75" customHeight="1">
      <c r="A475" s="774"/>
      <c r="B475" s="886">
        <v>85295</v>
      </c>
      <c r="C475" s="1210"/>
      <c r="D475" s="899"/>
      <c r="E475" s="900" t="s">
        <v>24</v>
      </c>
      <c r="F475" s="1033">
        <f>F476</f>
        <v>0</v>
      </c>
      <c r="G475" s="1033">
        <f aca="true" t="shared" si="79" ref="G475:M475">G476</f>
        <v>0</v>
      </c>
      <c r="H475" s="1033">
        <f t="shared" si="79"/>
        <v>0</v>
      </c>
      <c r="I475" s="1033">
        <f t="shared" si="79"/>
        <v>0</v>
      </c>
      <c r="J475" s="1033">
        <f t="shared" si="79"/>
        <v>0</v>
      </c>
      <c r="K475" s="1033">
        <f t="shared" si="79"/>
        <v>0</v>
      </c>
      <c r="L475" s="1033">
        <f t="shared" si="79"/>
        <v>6000</v>
      </c>
      <c r="M475" s="1033">
        <f t="shared" si="79"/>
        <v>6000</v>
      </c>
      <c r="N475" s="75" t="s">
        <v>526</v>
      </c>
    </row>
    <row r="476" spans="1:14" s="74" customFormat="1" ht="64.5" customHeight="1">
      <c r="A476" s="774"/>
      <c r="B476" s="357"/>
      <c r="C476" s="1215" t="s">
        <v>682</v>
      </c>
      <c r="D476" s="931"/>
      <c r="E476" s="1016" t="s">
        <v>402</v>
      </c>
      <c r="F476" s="194"/>
      <c r="G476" s="1017"/>
      <c r="H476" s="194"/>
      <c r="I476" s="194"/>
      <c r="J476" s="194"/>
      <c r="K476" s="193"/>
      <c r="L476" s="194">
        <v>6000</v>
      </c>
      <c r="M476" s="1035">
        <f>SUM(F476:L476)</f>
        <v>6000</v>
      </c>
      <c r="N476" s="74" t="s">
        <v>526</v>
      </c>
    </row>
    <row r="477" spans="1:14" s="74" customFormat="1" ht="39.75" customHeight="1">
      <c r="A477" s="759">
        <v>14</v>
      </c>
      <c r="B477" s="734">
        <v>854</v>
      </c>
      <c r="C477" s="1227"/>
      <c r="D477" s="1047"/>
      <c r="E477" s="1048" t="s">
        <v>92</v>
      </c>
      <c r="F477" s="761">
        <f>F478+F484+F487</f>
        <v>0</v>
      </c>
      <c r="G477" s="761">
        <f aca="true" t="shared" si="80" ref="G477:M477">G478+G484+G487</f>
        <v>0</v>
      </c>
      <c r="H477" s="761">
        <f t="shared" si="80"/>
        <v>0</v>
      </c>
      <c r="I477" s="761">
        <f t="shared" si="80"/>
        <v>0</v>
      </c>
      <c r="J477" s="761">
        <f t="shared" si="80"/>
        <v>0</v>
      </c>
      <c r="K477" s="761">
        <f t="shared" si="80"/>
        <v>0</v>
      </c>
      <c r="L477" s="761">
        <f t="shared" si="80"/>
        <v>1411942</v>
      </c>
      <c r="M477" s="761">
        <f t="shared" si="80"/>
        <v>1411942</v>
      </c>
      <c r="N477" s="74" t="s">
        <v>526</v>
      </c>
    </row>
    <row r="478" spans="1:14" s="103" customFormat="1" ht="37.5" customHeight="1">
      <c r="A478" s="885"/>
      <c r="B478" s="353" t="s">
        <v>93</v>
      </c>
      <c r="C478" s="1223"/>
      <c r="D478" s="1001"/>
      <c r="E478" s="355" t="s">
        <v>94</v>
      </c>
      <c r="F478" s="1033">
        <f>F479</f>
        <v>0</v>
      </c>
      <c r="G478" s="1033">
        <f aca="true" t="shared" si="81" ref="G478:M478">G479</f>
        <v>0</v>
      </c>
      <c r="H478" s="1033">
        <f t="shared" si="81"/>
        <v>0</v>
      </c>
      <c r="I478" s="1033">
        <f t="shared" si="81"/>
        <v>0</v>
      </c>
      <c r="J478" s="1033">
        <f t="shared" si="81"/>
        <v>0</v>
      </c>
      <c r="K478" s="1033">
        <f t="shared" si="81"/>
        <v>0</v>
      </c>
      <c r="L478" s="1033">
        <f t="shared" si="81"/>
        <v>1383372</v>
      </c>
      <c r="M478" s="1033">
        <f t="shared" si="81"/>
        <v>1383372</v>
      </c>
      <c r="N478" s="103" t="s">
        <v>526</v>
      </c>
    </row>
    <row r="479" spans="1:14" s="71" customFormat="1" ht="30" customHeight="1">
      <c r="A479" s="1049"/>
      <c r="B479" s="465"/>
      <c r="C479" s="1197" t="s">
        <v>602</v>
      </c>
      <c r="D479" s="775"/>
      <c r="E479" s="776" t="s">
        <v>1016</v>
      </c>
      <c r="F479" s="1050"/>
      <c r="G479" s="776"/>
      <c r="H479" s="1050"/>
      <c r="I479" s="1050"/>
      <c r="J479" s="1050"/>
      <c r="K479" s="849"/>
      <c r="L479" s="1051">
        <f>SUM(L480:L483)</f>
        <v>1383372</v>
      </c>
      <c r="M479" s="1052">
        <f>K479+L479</f>
        <v>1383372</v>
      </c>
      <c r="N479" s="71" t="s">
        <v>526</v>
      </c>
    </row>
    <row r="480" spans="1:14" s="75" customFormat="1" ht="31.5" customHeight="1">
      <c r="A480" s="916"/>
      <c r="B480" s="465"/>
      <c r="C480" s="1208" t="s">
        <v>682</v>
      </c>
      <c r="D480" s="890"/>
      <c r="E480" s="891" t="s">
        <v>44</v>
      </c>
      <c r="F480" s="893"/>
      <c r="G480" s="891"/>
      <c r="H480" s="893"/>
      <c r="I480" s="893"/>
      <c r="J480" s="893"/>
      <c r="K480" s="477"/>
      <c r="L480" s="478">
        <v>236670</v>
      </c>
      <c r="M480" s="482">
        <f>L480</f>
        <v>236670</v>
      </c>
      <c r="N480" s="75" t="s">
        <v>526</v>
      </c>
    </row>
    <row r="481" spans="1:14" s="104" customFormat="1" ht="29.25" customHeight="1">
      <c r="A481" s="916"/>
      <c r="B481" s="465"/>
      <c r="C481" s="1209" t="s">
        <v>700</v>
      </c>
      <c r="D481" s="894"/>
      <c r="E481" s="895" t="s">
        <v>780</v>
      </c>
      <c r="F481" s="897"/>
      <c r="G481" s="895"/>
      <c r="H481" s="897"/>
      <c r="I481" s="897"/>
      <c r="J481" s="897"/>
      <c r="K481" s="470"/>
      <c r="L481" s="471">
        <v>579127</v>
      </c>
      <c r="M481" s="898">
        <f>K481+L481</f>
        <v>579127</v>
      </c>
      <c r="N481" s="104" t="s">
        <v>526</v>
      </c>
    </row>
    <row r="482" spans="1:14" s="105" customFormat="1" ht="29.25" customHeight="1">
      <c r="A482" s="916"/>
      <c r="B482" s="465"/>
      <c r="C482" s="1209" t="s">
        <v>701</v>
      </c>
      <c r="D482" s="894"/>
      <c r="E482" s="895" t="s">
        <v>777</v>
      </c>
      <c r="F482" s="897"/>
      <c r="G482" s="895"/>
      <c r="H482" s="897"/>
      <c r="I482" s="897"/>
      <c r="J482" s="897"/>
      <c r="K482" s="470"/>
      <c r="L482" s="471">
        <v>238667</v>
      </c>
      <c r="M482" s="898">
        <f>K482+L482</f>
        <v>238667</v>
      </c>
      <c r="N482" s="105" t="s">
        <v>526</v>
      </c>
    </row>
    <row r="483" spans="1:14" s="105" customFormat="1" ht="29.25" customHeight="1">
      <c r="A483" s="916"/>
      <c r="B483" s="465"/>
      <c r="C483" s="1228" t="s">
        <v>702</v>
      </c>
      <c r="D483" s="1053"/>
      <c r="E483" s="1054" t="s">
        <v>781</v>
      </c>
      <c r="F483" s="1055"/>
      <c r="G483" s="1054"/>
      <c r="H483" s="1055"/>
      <c r="I483" s="1055"/>
      <c r="J483" s="1055"/>
      <c r="K483" s="1056"/>
      <c r="L483" s="1057">
        <v>328908</v>
      </c>
      <c r="M483" s="1058">
        <f>K483+L483</f>
        <v>328908</v>
      </c>
      <c r="N483" s="105" t="s">
        <v>526</v>
      </c>
    </row>
    <row r="484" spans="1:14" s="103" customFormat="1" ht="55.5" customHeight="1">
      <c r="A484" s="885"/>
      <c r="B484" s="1011">
        <v>85412</v>
      </c>
      <c r="C484" s="1207"/>
      <c r="D484" s="887"/>
      <c r="E484" s="888" t="s">
        <v>541</v>
      </c>
      <c r="F484" s="1033">
        <f>F485</f>
        <v>0</v>
      </c>
      <c r="G484" s="1033">
        <f aca="true" t="shared" si="82" ref="G484:M484">G485</f>
        <v>0</v>
      </c>
      <c r="H484" s="1033">
        <f t="shared" si="82"/>
        <v>0</v>
      </c>
      <c r="I484" s="1033">
        <f t="shared" si="82"/>
        <v>0</v>
      </c>
      <c r="J484" s="1033">
        <f t="shared" si="82"/>
        <v>0</v>
      </c>
      <c r="K484" s="1033">
        <f t="shared" si="82"/>
        <v>0</v>
      </c>
      <c r="L484" s="1033">
        <f t="shared" si="82"/>
        <v>19570</v>
      </c>
      <c r="M484" s="1034">
        <f t="shared" si="82"/>
        <v>19570</v>
      </c>
      <c r="N484" s="103" t="s">
        <v>526</v>
      </c>
    </row>
    <row r="485" spans="1:14" s="105" customFormat="1" ht="64.5" customHeight="1">
      <c r="A485" s="916"/>
      <c r="B485" s="465"/>
      <c r="C485" s="1228" t="s">
        <v>682</v>
      </c>
      <c r="D485" s="1053"/>
      <c r="E485" s="1054" t="s">
        <v>515</v>
      </c>
      <c r="F485" s="1055"/>
      <c r="G485" s="1054"/>
      <c r="H485" s="1055"/>
      <c r="I485" s="1055"/>
      <c r="J485" s="1055"/>
      <c r="K485" s="1056"/>
      <c r="L485" s="1057">
        <v>19570</v>
      </c>
      <c r="M485" s="1058">
        <f>K485+L485</f>
        <v>19570</v>
      </c>
      <c r="N485" s="105" t="s">
        <v>526</v>
      </c>
    </row>
    <row r="486" spans="1:13" s="105" customFormat="1" ht="63" customHeight="1">
      <c r="A486" s="916"/>
      <c r="B486" s="465"/>
      <c r="C486" s="1213"/>
      <c r="D486" s="917"/>
      <c r="E486" s="787" t="s">
        <v>542</v>
      </c>
      <c r="F486" s="911"/>
      <c r="G486" s="910"/>
      <c r="H486" s="911"/>
      <c r="I486" s="911"/>
      <c r="J486" s="911"/>
      <c r="K486" s="311"/>
      <c r="L486" s="312"/>
      <c r="M486" s="313"/>
    </row>
    <row r="487" spans="1:14" s="103" customFormat="1" ht="40.5" customHeight="1">
      <c r="A487" s="885"/>
      <c r="B487" s="1011" t="s">
        <v>95</v>
      </c>
      <c r="C487" s="1207"/>
      <c r="D487" s="887"/>
      <c r="E487" s="888" t="s">
        <v>96</v>
      </c>
      <c r="F487" s="1033">
        <f>SUM(F488:F490)</f>
        <v>0</v>
      </c>
      <c r="G487" s="1033">
        <f aca="true" t="shared" si="83" ref="G487:M487">SUM(G488:G490)</f>
        <v>0</v>
      </c>
      <c r="H487" s="1033">
        <f t="shared" si="83"/>
        <v>0</v>
      </c>
      <c r="I487" s="1033">
        <f t="shared" si="83"/>
        <v>0</v>
      </c>
      <c r="J487" s="1033">
        <f t="shared" si="83"/>
        <v>0</v>
      </c>
      <c r="K487" s="1033">
        <f t="shared" si="83"/>
        <v>0</v>
      </c>
      <c r="L487" s="1033">
        <f t="shared" si="83"/>
        <v>9000</v>
      </c>
      <c r="M487" s="1034">
        <f t="shared" si="83"/>
        <v>9000</v>
      </c>
      <c r="N487" s="103" t="s">
        <v>526</v>
      </c>
    </row>
    <row r="488" spans="1:14" s="105" customFormat="1" ht="27.75" customHeight="1">
      <c r="A488" s="916"/>
      <c r="B488" s="465"/>
      <c r="C488" s="1213" t="s">
        <v>682</v>
      </c>
      <c r="D488" s="917"/>
      <c r="E488" s="910" t="s">
        <v>33</v>
      </c>
      <c r="F488" s="911"/>
      <c r="G488" s="910"/>
      <c r="H488" s="911"/>
      <c r="I488" s="911"/>
      <c r="J488" s="911"/>
      <c r="K488" s="311"/>
      <c r="L488" s="312">
        <v>1000</v>
      </c>
      <c r="M488" s="313">
        <f>L488</f>
        <v>1000</v>
      </c>
      <c r="N488" s="105" t="s">
        <v>526</v>
      </c>
    </row>
    <row r="489" spans="1:14" s="105" customFormat="1" ht="27" customHeight="1">
      <c r="A489" s="916"/>
      <c r="B489" s="465"/>
      <c r="C489" s="1229" t="s">
        <v>700</v>
      </c>
      <c r="D489" s="894"/>
      <c r="E489" s="895" t="s">
        <v>32</v>
      </c>
      <c r="F489" s="897"/>
      <c r="G489" s="895"/>
      <c r="H489" s="897"/>
      <c r="I489" s="897"/>
      <c r="J489" s="897"/>
      <c r="K489" s="470"/>
      <c r="L489" s="471">
        <v>1000</v>
      </c>
      <c r="M489" s="898">
        <f>L489</f>
        <v>1000</v>
      </c>
      <c r="N489" s="105" t="s">
        <v>526</v>
      </c>
    </row>
    <row r="490" spans="1:14" s="105" customFormat="1" ht="28.5" customHeight="1">
      <c r="A490" s="916"/>
      <c r="B490" s="465"/>
      <c r="C490" s="1213" t="s">
        <v>701</v>
      </c>
      <c r="D490" s="917"/>
      <c r="E490" s="910" t="s">
        <v>789</v>
      </c>
      <c r="F490" s="1059"/>
      <c r="G490" s="910"/>
      <c r="H490" s="911"/>
      <c r="I490" s="911"/>
      <c r="J490" s="911"/>
      <c r="K490" s="311"/>
      <c r="L490" s="312">
        <v>7000</v>
      </c>
      <c r="M490" s="313">
        <f>L490</f>
        <v>7000</v>
      </c>
      <c r="N490" s="105" t="s">
        <v>526</v>
      </c>
    </row>
    <row r="491" spans="1:13" s="46" customFormat="1" ht="66.75" customHeight="1">
      <c r="A491" s="151">
        <v>15</v>
      </c>
      <c r="B491" s="152">
        <v>900</v>
      </c>
      <c r="C491" s="1148"/>
      <c r="D491" s="154"/>
      <c r="E491" s="155" t="s">
        <v>522</v>
      </c>
      <c r="F491" s="156">
        <f>F492+F494+F498+F502+F509</f>
        <v>0</v>
      </c>
      <c r="G491" s="188">
        <f aca="true" t="shared" si="84" ref="G491:M491">G492+G494+G498+G502+G509</f>
        <v>0</v>
      </c>
      <c r="H491" s="188">
        <f t="shared" si="84"/>
        <v>900000</v>
      </c>
      <c r="I491" s="188">
        <f t="shared" si="84"/>
        <v>0</v>
      </c>
      <c r="J491" s="188">
        <f t="shared" si="84"/>
        <v>0</v>
      </c>
      <c r="K491" s="188">
        <f t="shared" si="84"/>
        <v>0</v>
      </c>
      <c r="L491" s="188">
        <f t="shared" si="84"/>
        <v>2035000</v>
      </c>
      <c r="M491" s="157">
        <f t="shared" si="84"/>
        <v>2935000</v>
      </c>
    </row>
    <row r="492" spans="1:13" s="46" customFormat="1" ht="47.25" customHeight="1">
      <c r="A492" s="1060"/>
      <c r="B492" s="305">
        <v>90001</v>
      </c>
      <c r="C492" s="1170"/>
      <c r="D492" s="718"/>
      <c r="E492" s="719" t="s">
        <v>97</v>
      </c>
      <c r="F492" s="720">
        <f>F493</f>
        <v>0</v>
      </c>
      <c r="G492" s="743">
        <f aca="true" t="shared" si="85" ref="G492:M492">G493</f>
        <v>0</v>
      </c>
      <c r="H492" s="744">
        <f t="shared" si="85"/>
        <v>900000</v>
      </c>
      <c r="I492" s="744">
        <f t="shared" si="85"/>
        <v>0</v>
      </c>
      <c r="J492" s="744">
        <f t="shared" si="85"/>
        <v>0</v>
      </c>
      <c r="K492" s="744">
        <f t="shared" si="85"/>
        <v>0</v>
      </c>
      <c r="L492" s="744">
        <f t="shared" si="85"/>
        <v>300000</v>
      </c>
      <c r="M492" s="745">
        <f t="shared" si="85"/>
        <v>1200000</v>
      </c>
    </row>
    <row r="493" spans="1:14" s="46" customFormat="1" ht="61.5" customHeight="1">
      <c r="A493" s="304"/>
      <c r="B493" s="166"/>
      <c r="C493" s="1230">
        <v>1</v>
      </c>
      <c r="D493" s="1061"/>
      <c r="E493" s="215" t="s">
        <v>141</v>
      </c>
      <c r="F493" s="204"/>
      <c r="G493" s="205"/>
      <c r="H493" s="185">
        <v>900000</v>
      </c>
      <c r="I493" s="185"/>
      <c r="J493" s="185"/>
      <c r="K493" s="187"/>
      <c r="L493" s="186">
        <v>300000</v>
      </c>
      <c r="M493" s="187">
        <f>SUM(F493:L493)</f>
        <v>1200000</v>
      </c>
      <c r="N493" s="46" t="s">
        <v>526</v>
      </c>
    </row>
    <row r="494" spans="1:47" s="69" customFormat="1" ht="44.25" customHeight="1">
      <c r="A494" s="1062"/>
      <c r="B494" s="1063">
        <v>90003</v>
      </c>
      <c r="C494" s="1231"/>
      <c r="D494" s="1064"/>
      <c r="E494" s="1065" t="s">
        <v>523</v>
      </c>
      <c r="F494" s="1066">
        <v>0</v>
      </c>
      <c r="G494" s="1067">
        <v>0</v>
      </c>
      <c r="H494" s="1068">
        <v>0</v>
      </c>
      <c r="I494" s="1068">
        <v>0</v>
      </c>
      <c r="J494" s="1068">
        <v>0</v>
      </c>
      <c r="K494" s="1068">
        <v>0</v>
      </c>
      <c r="L494" s="1068">
        <f>L495+L496+L497</f>
        <v>465000</v>
      </c>
      <c r="M494" s="1068">
        <f>M495+M496+M497</f>
        <v>465000</v>
      </c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</row>
    <row r="495" spans="1:47" s="46" customFormat="1" ht="30.75" customHeight="1">
      <c r="A495" s="400"/>
      <c r="B495" s="1069"/>
      <c r="C495" s="1162">
        <v>1</v>
      </c>
      <c r="D495" s="337"/>
      <c r="E495" s="1070" t="s">
        <v>771</v>
      </c>
      <c r="F495" s="965"/>
      <c r="G495" s="1071"/>
      <c r="H495" s="965"/>
      <c r="I495" s="965"/>
      <c r="J495" s="965"/>
      <c r="K495" s="965"/>
      <c r="L495" s="965">
        <v>230000</v>
      </c>
      <c r="M495" s="966">
        <f>L495</f>
        <v>230000</v>
      </c>
      <c r="N495" s="66" t="s">
        <v>526</v>
      </c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</row>
    <row r="496" spans="1:47" s="46" customFormat="1" ht="70.5" customHeight="1">
      <c r="A496" s="400"/>
      <c r="B496" s="316"/>
      <c r="C496" s="1153">
        <v>2</v>
      </c>
      <c r="D496" s="317"/>
      <c r="E496" s="223" t="s">
        <v>772</v>
      </c>
      <c r="F496" s="982"/>
      <c r="G496" s="1072"/>
      <c r="H496" s="982"/>
      <c r="I496" s="982"/>
      <c r="J496" s="982"/>
      <c r="K496" s="982"/>
      <c r="L496" s="982">
        <v>200000</v>
      </c>
      <c r="M496" s="983">
        <f>L496</f>
        <v>200000</v>
      </c>
      <c r="N496" s="66" t="s">
        <v>526</v>
      </c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</row>
    <row r="497" spans="1:47" s="46" customFormat="1" ht="79.5" customHeight="1">
      <c r="A497" s="400"/>
      <c r="B497" s="316"/>
      <c r="C497" s="1157">
        <v>3</v>
      </c>
      <c r="D497" s="437"/>
      <c r="E497" s="422" t="s">
        <v>773</v>
      </c>
      <c r="F497" s="988"/>
      <c r="G497" s="1073"/>
      <c r="H497" s="988"/>
      <c r="I497" s="988"/>
      <c r="J497" s="988"/>
      <c r="K497" s="988"/>
      <c r="L497" s="988">
        <v>35000</v>
      </c>
      <c r="M497" s="989">
        <f>L497</f>
        <v>35000</v>
      </c>
      <c r="N497" s="66" t="s">
        <v>526</v>
      </c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</row>
    <row r="498" spans="1:47" s="69" customFormat="1" ht="45" customHeight="1">
      <c r="A498" s="1074"/>
      <c r="B498" s="1075">
        <v>90004</v>
      </c>
      <c r="C498" s="1232"/>
      <c r="D498" s="1076"/>
      <c r="E498" s="1077" t="s">
        <v>774</v>
      </c>
      <c r="F498" s="1078">
        <v>0</v>
      </c>
      <c r="G498" s="1079">
        <v>0</v>
      </c>
      <c r="H498" s="1078">
        <v>0</v>
      </c>
      <c r="I498" s="1078">
        <v>0</v>
      </c>
      <c r="J498" s="1078">
        <v>0</v>
      </c>
      <c r="K498" s="1078">
        <v>0</v>
      </c>
      <c r="L498" s="1078">
        <f>L499+L500+L501</f>
        <v>110000</v>
      </c>
      <c r="M498" s="1078">
        <f>M499+M500+M501</f>
        <v>110000</v>
      </c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</row>
    <row r="499" spans="1:47" s="46" customFormat="1" ht="99" customHeight="1">
      <c r="A499" s="400"/>
      <c r="B499" s="316"/>
      <c r="C499" s="1157">
        <v>1</v>
      </c>
      <c r="D499" s="437"/>
      <c r="E499" s="422" t="s">
        <v>776</v>
      </c>
      <c r="F499" s="988"/>
      <c r="G499" s="1073"/>
      <c r="H499" s="988"/>
      <c r="I499" s="988"/>
      <c r="J499" s="988"/>
      <c r="K499" s="988"/>
      <c r="L499" s="988">
        <v>75000</v>
      </c>
      <c r="M499" s="989">
        <f>L499</f>
        <v>75000</v>
      </c>
      <c r="N499" s="66" t="s">
        <v>526</v>
      </c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</row>
    <row r="500" spans="1:47" s="46" customFormat="1" ht="105" customHeight="1">
      <c r="A500" s="400"/>
      <c r="B500" s="316"/>
      <c r="C500" s="1153">
        <v>2</v>
      </c>
      <c r="D500" s="317"/>
      <c r="E500" s="223" t="s">
        <v>649</v>
      </c>
      <c r="F500" s="982"/>
      <c r="G500" s="1072"/>
      <c r="H500" s="982"/>
      <c r="I500" s="982"/>
      <c r="J500" s="982"/>
      <c r="K500" s="982"/>
      <c r="L500" s="982">
        <v>25000</v>
      </c>
      <c r="M500" s="983">
        <f>L500</f>
        <v>25000</v>
      </c>
      <c r="N500" s="66" t="s">
        <v>526</v>
      </c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</row>
    <row r="501" spans="1:47" s="46" customFormat="1" ht="58.5" customHeight="1">
      <c r="A501" s="400"/>
      <c r="B501" s="967"/>
      <c r="C501" s="1147">
        <v>3</v>
      </c>
      <c r="D501" s="321"/>
      <c r="E501" s="1080" t="s">
        <v>426</v>
      </c>
      <c r="F501" s="1081"/>
      <c r="G501" s="1082"/>
      <c r="H501" s="1081"/>
      <c r="I501" s="1081"/>
      <c r="J501" s="1081"/>
      <c r="K501" s="1081"/>
      <c r="L501" s="1081">
        <v>10000</v>
      </c>
      <c r="M501" s="1083">
        <f>L501</f>
        <v>10000</v>
      </c>
      <c r="N501" s="66" t="s">
        <v>526</v>
      </c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</row>
    <row r="502" spans="1:47" s="69" customFormat="1" ht="44.25" customHeight="1">
      <c r="A502" s="1074"/>
      <c r="B502" s="1075">
        <v>90015</v>
      </c>
      <c r="C502" s="1232"/>
      <c r="D502" s="1076"/>
      <c r="E502" s="1077" t="s">
        <v>102</v>
      </c>
      <c r="F502" s="1078">
        <v>0</v>
      </c>
      <c r="G502" s="1079">
        <v>0</v>
      </c>
      <c r="H502" s="1078">
        <v>0</v>
      </c>
      <c r="I502" s="1078">
        <v>0</v>
      </c>
      <c r="J502" s="1078">
        <v>0</v>
      </c>
      <c r="K502" s="1078">
        <v>0</v>
      </c>
      <c r="L502" s="1078">
        <f>SUM(L503:L508)</f>
        <v>630000</v>
      </c>
      <c r="M502" s="1078">
        <f>SUM(M503:M508)</f>
        <v>630000</v>
      </c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</row>
    <row r="503" spans="1:47" s="46" customFormat="1" ht="52.5" customHeight="1">
      <c r="A503" s="400"/>
      <c r="B503" s="1069"/>
      <c r="C503" s="1162">
        <v>1</v>
      </c>
      <c r="D503" s="337"/>
      <c r="E503" s="1070" t="s">
        <v>662</v>
      </c>
      <c r="F503" s="965"/>
      <c r="G503" s="1071"/>
      <c r="H503" s="965"/>
      <c r="I503" s="965"/>
      <c r="J503" s="965"/>
      <c r="K503" s="965"/>
      <c r="L503" s="965">
        <v>190000</v>
      </c>
      <c r="M503" s="966">
        <f aca="true" t="shared" si="86" ref="M503:M508">L503</f>
        <v>190000</v>
      </c>
      <c r="N503" s="66" t="s">
        <v>526</v>
      </c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</row>
    <row r="504" spans="1:47" s="46" customFormat="1" ht="78" customHeight="1">
      <c r="A504" s="400"/>
      <c r="B504" s="316"/>
      <c r="C504" s="1153">
        <v>2</v>
      </c>
      <c r="D504" s="317"/>
      <c r="E504" s="223" t="s">
        <v>427</v>
      </c>
      <c r="F504" s="982"/>
      <c r="G504" s="1072"/>
      <c r="H504" s="982"/>
      <c r="I504" s="982"/>
      <c r="J504" s="982"/>
      <c r="K504" s="982"/>
      <c r="L504" s="982">
        <v>150000</v>
      </c>
      <c r="M504" s="983">
        <f t="shared" si="86"/>
        <v>150000</v>
      </c>
      <c r="N504" s="66" t="s">
        <v>526</v>
      </c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</row>
    <row r="505" spans="1:47" s="46" customFormat="1" ht="37.5" customHeight="1">
      <c r="A505" s="400"/>
      <c r="B505" s="316"/>
      <c r="C505" s="1153">
        <v>3</v>
      </c>
      <c r="D505" s="317"/>
      <c r="E505" s="223" t="s">
        <v>428</v>
      </c>
      <c r="F505" s="982"/>
      <c r="G505" s="1072"/>
      <c r="H505" s="982"/>
      <c r="I505" s="982"/>
      <c r="J505" s="982"/>
      <c r="K505" s="982"/>
      <c r="L505" s="982">
        <v>20000</v>
      </c>
      <c r="M505" s="983">
        <f t="shared" si="86"/>
        <v>20000</v>
      </c>
      <c r="N505" s="66" t="s">
        <v>526</v>
      </c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</row>
    <row r="506" spans="1:47" s="46" customFormat="1" ht="52.5" customHeight="1">
      <c r="A506" s="400"/>
      <c r="B506" s="316"/>
      <c r="C506" s="1153">
        <v>4</v>
      </c>
      <c r="D506" s="317"/>
      <c r="E506" s="223" t="s">
        <v>660</v>
      </c>
      <c r="F506" s="982"/>
      <c r="G506" s="1072"/>
      <c r="H506" s="982"/>
      <c r="I506" s="982"/>
      <c r="J506" s="982"/>
      <c r="K506" s="982"/>
      <c r="L506" s="982">
        <v>60000</v>
      </c>
      <c r="M506" s="983">
        <f t="shared" si="86"/>
        <v>60000</v>
      </c>
      <c r="N506" s="66" t="s">
        <v>526</v>
      </c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</row>
    <row r="507" spans="1:47" s="46" customFormat="1" ht="35.25" customHeight="1">
      <c r="A507" s="400"/>
      <c r="B507" s="316"/>
      <c r="C507" s="1153">
        <v>5</v>
      </c>
      <c r="D507" s="317"/>
      <c r="E507" s="223" t="s">
        <v>661</v>
      </c>
      <c r="F507" s="982"/>
      <c r="G507" s="1072"/>
      <c r="H507" s="982"/>
      <c r="I507" s="982"/>
      <c r="J507" s="982"/>
      <c r="K507" s="982"/>
      <c r="L507" s="982">
        <v>200000</v>
      </c>
      <c r="M507" s="983">
        <f t="shared" si="86"/>
        <v>200000</v>
      </c>
      <c r="N507" s="66" t="s">
        <v>526</v>
      </c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</row>
    <row r="508" spans="1:47" s="46" customFormat="1" ht="33" customHeight="1">
      <c r="A508" s="400"/>
      <c r="B508" s="967"/>
      <c r="C508" s="1147">
        <v>6</v>
      </c>
      <c r="D508" s="321"/>
      <c r="E508" s="1080" t="s">
        <v>650</v>
      </c>
      <c r="F508" s="1081"/>
      <c r="G508" s="1082"/>
      <c r="H508" s="1081"/>
      <c r="I508" s="1081"/>
      <c r="J508" s="1081"/>
      <c r="K508" s="1081"/>
      <c r="L508" s="1081">
        <v>10000</v>
      </c>
      <c r="M508" s="1083">
        <f t="shared" si="86"/>
        <v>10000</v>
      </c>
      <c r="N508" s="66" t="s">
        <v>526</v>
      </c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</row>
    <row r="509" spans="1:47" s="53" customFormat="1" ht="46.5" customHeight="1">
      <c r="A509" s="1074"/>
      <c r="B509" s="1075">
        <v>90095</v>
      </c>
      <c r="C509" s="1232"/>
      <c r="D509" s="1076"/>
      <c r="E509" s="1077" t="s">
        <v>24</v>
      </c>
      <c r="F509" s="1078">
        <v>0</v>
      </c>
      <c r="G509" s="1079">
        <v>0</v>
      </c>
      <c r="H509" s="1078">
        <v>0</v>
      </c>
      <c r="I509" s="1078">
        <v>0</v>
      </c>
      <c r="J509" s="1078">
        <v>0</v>
      </c>
      <c r="K509" s="1078">
        <v>0</v>
      </c>
      <c r="L509" s="1078">
        <f>SUM(L510:L521)</f>
        <v>530000</v>
      </c>
      <c r="M509" s="1078">
        <f>SUM(M510:M521)</f>
        <v>530000</v>
      </c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</row>
    <row r="510" spans="1:47" s="46" customFormat="1" ht="83.25" customHeight="1">
      <c r="A510" s="400"/>
      <c r="B510" s="316"/>
      <c r="C510" s="1157">
        <v>1</v>
      </c>
      <c r="D510" s="437"/>
      <c r="E510" s="422" t="s">
        <v>651</v>
      </c>
      <c r="F510" s="988"/>
      <c r="G510" s="1073"/>
      <c r="H510" s="988"/>
      <c r="I510" s="988"/>
      <c r="J510" s="988"/>
      <c r="K510" s="988"/>
      <c r="L510" s="988">
        <v>80000</v>
      </c>
      <c r="M510" s="989">
        <f aca="true" t="shared" si="87" ref="M510:M521">L510</f>
        <v>80000</v>
      </c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</row>
    <row r="511" spans="1:47" s="47" customFormat="1" ht="75.75" customHeight="1">
      <c r="A511" s="400"/>
      <c r="B511" s="316"/>
      <c r="C511" s="1153">
        <v>2</v>
      </c>
      <c r="D511" s="317"/>
      <c r="E511" s="223" t="s">
        <v>663</v>
      </c>
      <c r="F511" s="982"/>
      <c r="G511" s="1072"/>
      <c r="H511" s="982"/>
      <c r="I511" s="982"/>
      <c r="J511" s="982"/>
      <c r="K511" s="982"/>
      <c r="L511" s="982">
        <v>6000</v>
      </c>
      <c r="M511" s="983">
        <f t="shared" si="87"/>
        <v>6000</v>
      </c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</row>
    <row r="512" spans="1:47" s="47" customFormat="1" ht="60" customHeight="1">
      <c r="A512" s="400"/>
      <c r="B512" s="316"/>
      <c r="C512" s="1153">
        <v>3</v>
      </c>
      <c r="D512" s="317"/>
      <c r="E512" s="223" t="s">
        <v>103</v>
      </c>
      <c r="F512" s="982"/>
      <c r="G512" s="1072"/>
      <c r="H512" s="982"/>
      <c r="I512" s="982"/>
      <c r="J512" s="982"/>
      <c r="K512" s="982"/>
      <c r="L512" s="982">
        <v>45000</v>
      </c>
      <c r="M512" s="983">
        <f t="shared" si="87"/>
        <v>45000</v>
      </c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</row>
    <row r="513" spans="1:47" s="47" customFormat="1" ht="60" customHeight="1">
      <c r="A513" s="400"/>
      <c r="B513" s="316"/>
      <c r="C513" s="1153">
        <v>4</v>
      </c>
      <c r="D513" s="317"/>
      <c r="E513" s="223" t="s">
        <v>664</v>
      </c>
      <c r="F513" s="982"/>
      <c r="G513" s="1072"/>
      <c r="H513" s="982"/>
      <c r="I513" s="982"/>
      <c r="J513" s="982"/>
      <c r="K513" s="982"/>
      <c r="L513" s="982">
        <v>7000</v>
      </c>
      <c r="M513" s="983">
        <f t="shared" si="87"/>
        <v>7000</v>
      </c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</row>
    <row r="514" spans="1:47" s="47" customFormat="1" ht="60" customHeight="1">
      <c r="A514" s="400"/>
      <c r="B514" s="316"/>
      <c r="C514" s="1153">
        <v>5</v>
      </c>
      <c r="D514" s="317"/>
      <c r="E514" s="223" t="s">
        <v>104</v>
      </c>
      <c r="F514" s="982"/>
      <c r="G514" s="1072"/>
      <c r="H514" s="982"/>
      <c r="I514" s="982"/>
      <c r="J514" s="982"/>
      <c r="K514" s="982"/>
      <c r="L514" s="982">
        <v>6000</v>
      </c>
      <c r="M514" s="983">
        <f t="shared" si="87"/>
        <v>6000</v>
      </c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</row>
    <row r="515" spans="1:47" s="47" customFormat="1" ht="60" customHeight="1">
      <c r="A515" s="400"/>
      <c r="B515" s="316"/>
      <c r="C515" s="1153">
        <v>6</v>
      </c>
      <c r="D515" s="317"/>
      <c r="E515" s="223" t="s">
        <v>665</v>
      </c>
      <c r="F515" s="982"/>
      <c r="G515" s="1072"/>
      <c r="H515" s="982"/>
      <c r="I515" s="982"/>
      <c r="J515" s="982"/>
      <c r="K515" s="982"/>
      <c r="L515" s="982">
        <v>6000</v>
      </c>
      <c r="M515" s="983">
        <f t="shared" si="87"/>
        <v>6000</v>
      </c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</row>
    <row r="516" spans="1:47" s="47" customFormat="1" ht="60" customHeight="1">
      <c r="A516" s="400"/>
      <c r="B516" s="316"/>
      <c r="C516" s="1153">
        <v>7</v>
      </c>
      <c r="D516" s="317"/>
      <c r="E516" s="223" t="s">
        <v>666</v>
      </c>
      <c r="F516" s="982"/>
      <c r="G516" s="1072"/>
      <c r="H516" s="982"/>
      <c r="I516" s="982"/>
      <c r="J516" s="982"/>
      <c r="K516" s="982"/>
      <c r="L516" s="982">
        <v>20000</v>
      </c>
      <c r="M516" s="983">
        <f t="shared" si="87"/>
        <v>20000</v>
      </c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</row>
    <row r="517" spans="1:47" s="47" customFormat="1" ht="60" customHeight="1">
      <c r="A517" s="400"/>
      <c r="B517" s="316"/>
      <c r="C517" s="1153">
        <v>8</v>
      </c>
      <c r="D517" s="317"/>
      <c r="E517" s="223" t="s">
        <v>105</v>
      </c>
      <c r="F517" s="982"/>
      <c r="G517" s="1072"/>
      <c r="H517" s="982"/>
      <c r="I517" s="982"/>
      <c r="J517" s="982"/>
      <c r="K517" s="982"/>
      <c r="L517" s="982">
        <v>50000</v>
      </c>
      <c r="M517" s="983">
        <f t="shared" si="87"/>
        <v>50000</v>
      </c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</row>
    <row r="518" spans="1:47" s="47" customFormat="1" ht="60" customHeight="1">
      <c r="A518" s="400"/>
      <c r="B518" s="316"/>
      <c r="C518" s="1153">
        <v>9</v>
      </c>
      <c r="D518" s="317"/>
      <c r="E518" s="223" t="s">
        <v>652</v>
      </c>
      <c r="F518" s="982"/>
      <c r="G518" s="1072"/>
      <c r="H518" s="982"/>
      <c r="I518" s="982"/>
      <c r="J518" s="982"/>
      <c r="K518" s="982"/>
      <c r="L518" s="982">
        <v>50000</v>
      </c>
      <c r="M518" s="983">
        <f t="shared" si="87"/>
        <v>50000</v>
      </c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</row>
    <row r="519" spans="1:47" s="47" customFormat="1" ht="60" customHeight="1">
      <c r="A519" s="400"/>
      <c r="B519" s="316"/>
      <c r="C519" s="1153">
        <v>10</v>
      </c>
      <c r="D519" s="317"/>
      <c r="E519" s="223" t="s">
        <v>669</v>
      </c>
      <c r="F519" s="982"/>
      <c r="G519" s="1072"/>
      <c r="H519" s="982"/>
      <c r="I519" s="982"/>
      <c r="J519" s="982"/>
      <c r="K519" s="982"/>
      <c r="L519" s="982">
        <v>100000</v>
      </c>
      <c r="M519" s="983">
        <f t="shared" si="87"/>
        <v>100000</v>
      </c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</row>
    <row r="520" spans="1:47" s="46" customFormat="1" ht="60" customHeight="1">
      <c r="A520" s="400"/>
      <c r="B520" s="316"/>
      <c r="C520" s="1153">
        <v>11</v>
      </c>
      <c r="D520" s="317"/>
      <c r="E520" s="223" t="s">
        <v>667</v>
      </c>
      <c r="F520" s="982"/>
      <c r="G520" s="1072"/>
      <c r="H520" s="982"/>
      <c r="I520" s="982"/>
      <c r="J520" s="982"/>
      <c r="K520" s="982"/>
      <c r="L520" s="982">
        <v>10000</v>
      </c>
      <c r="M520" s="983">
        <f t="shared" si="87"/>
        <v>10000</v>
      </c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</row>
    <row r="521" spans="1:47" s="47" customFormat="1" ht="60" customHeight="1">
      <c r="A521" s="1084"/>
      <c r="B521" s="967"/>
      <c r="C521" s="1147">
        <v>12</v>
      </c>
      <c r="D521" s="321"/>
      <c r="E521" s="1080" t="s">
        <v>668</v>
      </c>
      <c r="F521" s="1081"/>
      <c r="G521" s="1082"/>
      <c r="H521" s="1081"/>
      <c r="I521" s="1081"/>
      <c r="J521" s="1081"/>
      <c r="K521" s="1081"/>
      <c r="L521" s="1081">
        <v>150000</v>
      </c>
      <c r="M521" s="1083">
        <f t="shared" si="87"/>
        <v>150000</v>
      </c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</row>
    <row r="522" spans="1:47" s="51" customFormat="1" ht="49.5" customHeight="1">
      <c r="A522" s="956">
        <v>16</v>
      </c>
      <c r="B522" s="957">
        <v>921</v>
      </c>
      <c r="C522" s="1222"/>
      <c r="D522" s="958"/>
      <c r="E522" s="959" t="s">
        <v>106</v>
      </c>
      <c r="F522" s="960">
        <f>F523+F547+F556</f>
        <v>0</v>
      </c>
      <c r="G522" s="960">
        <f aca="true" t="shared" si="88" ref="G522:M522">G523+G547+G556</f>
        <v>0</v>
      </c>
      <c r="H522" s="960">
        <f t="shared" si="88"/>
        <v>0</v>
      </c>
      <c r="I522" s="960">
        <f t="shared" si="88"/>
        <v>0</v>
      </c>
      <c r="J522" s="960">
        <f t="shared" si="88"/>
        <v>0</v>
      </c>
      <c r="K522" s="960">
        <f t="shared" si="88"/>
        <v>0</v>
      </c>
      <c r="L522" s="960">
        <f t="shared" si="88"/>
        <v>2045842</v>
      </c>
      <c r="M522" s="960">
        <f t="shared" si="88"/>
        <v>2045842</v>
      </c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</row>
    <row r="523" spans="1:47" s="38" customFormat="1" ht="45" customHeight="1">
      <c r="A523" s="400"/>
      <c r="B523" s="327">
        <v>92109</v>
      </c>
      <c r="C523" s="1160"/>
      <c r="D523" s="328"/>
      <c r="E523" s="329" t="s">
        <v>775</v>
      </c>
      <c r="F523" s="330">
        <v>0</v>
      </c>
      <c r="G523" s="331">
        <v>0</v>
      </c>
      <c r="H523" s="330">
        <v>0</v>
      </c>
      <c r="I523" s="330">
        <v>0</v>
      </c>
      <c r="J523" s="330">
        <v>0</v>
      </c>
      <c r="K523" s="330">
        <v>0</v>
      </c>
      <c r="L523" s="1025">
        <f>SUM(L524:L546)</f>
        <v>1203000</v>
      </c>
      <c r="M523" s="1025">
        <f>SUM(M524:M546)</f>
        <v>1203000</v>
      </c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</row>
    <row r="524" spans="1:47" s="46" customFormat="1" ht="77.25" customHeight="1">
      <c r="A524" s="400"/>
      <c r="B524" s="316"/>
      <c r="C524" s="1157">
        <v>1</v>
      </c>
      <c r="D524" s="1085"/>
      <c r="E524" s="1086" t="s">
        <v>724</v>
      </c>
      <c r="F524" s="1087"/>
      <c r="G524" s="1088"/>
      <c r="H524" s="1087"/>
      <c r="I524" s="1087"/>
      <c r="J524" s="1087"/>
      <c r="K524" s="1087"/>
      <c r="L524" s="1089">
        <v>13000</v>
      </c>
      <c r="M524" s="341">
        <v>13000</v>
      </c>
      <c r="N524" s="66" t="s">
        <v>526</v>
      </c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</row>
    <row r="525" spans="1:47" s="46" customFormat="1" ht="36" customHeight="1">
      <c r="A525" s="400"/>
      <c r="B525" s="976"/>
      <c r="C525" s="1153">
        <v>2</v>
      </c>
      <c r="D525" s="727"/>
      <c r="E525" s="567" t="s">
        <v>99</v>
      </c>
      <c r="F525" s="1090"/>
      <c r="G525" s="1091"/>
      <c r="H525" s="1090"/>
      <c r="I525" s="1090"/>
      <c r="J525" s="1090"/>
      <c r="K525" s="1090"/>
      <c r="L525" s="320">
        <v>3000</v>
      </c>
      <c r="M525" s="320">
        <v>3000</v>
      </c>
      <c r="N525" s="66" t="s">
        <v>526</v>
      </c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</row>
    <row r="526" spans="1:47" s="47" customFormat="1" ht="109.5" customHeight="1">
      <c r="A526" s="400"/>
      <c r="B526" s="976"/>
      <c r="C526" s="1153">
        <v>3</v>
      </c>
      <c r="D526" s="727"/>
      <c r="E526" s="567" t="s">
        <v>467</v>
      </c>
      <c r="F526" s="1090"/>
      <c r="G526" s="1091"/>
      <c r="H526" s="1090"/>
      <c r="I526" s="1090"/>
      <c r="J526" s="1090"/>
      <c r="K526" s="1090"/>
      <c r="L526" s="320">
        <v>7000</v>
      </c>
      <c r="M526" s="320">
        <v>7000</v>
      </c>
      <c r="N526" s="48" t="s">
        <v>526</v>
      </c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</row>
    <row r="527" spans="1:47" s="47" customFormat="1" ht="30" customHeight="1">
      <c r="A527" s="400"/>
      <c r="B527" s="976"/>
      <c r="C527" s="1154">
        <v>5</v>
      </c>
      <c r="D527" s="757"/>
      <c r="E527" s="563" t="s">
        <v>100</v>
      </c>
      <c r="F527" s="952"/>
      <c r="G527" s="1092"/>
      <c r="H527" s="952"/>
      <c r="I527" s="952"/>
      <c r="J527" s="952"/>
      <c r="K527" s="952"/>
      <c r="L527" s="1093">
        <f>390000+L529</f>
        <v>480000</v>
      </c>
      <c r="M527" s="1093">
        <f>L527</f>
        <v>480000</v>
      </c>
      <c r="N527" s="48" t="s">
        <v>526</v>
      </c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</row>
    <row r="528" spans="1:13" s="12" customFormat="1" ht="25.5" customHeight="1">
      <c r="A528" s="173"/>
      <c r="B528" s="465"/>
      <c r="C528" s="1198"/>
      <c r="D528" s="458"/>
      <c r="E528" s="785" t="s">
        <v>1018</v>
      </c>
      <c r="F528" s="786"/>
      <c r="G528" s="787"/>
      <c r="H528" s="788"/>
      <c r="I528" s="788"/>
      <c r="J528" s="788"/>
      <c r="K528" s="311"/>
      <c r="L528" s="185"/>
      <c r="M528" s="187"/>
    </row>
    <row r="529" spans="1:14" s="11" customFormat="1" ht="36" customHeight="1">
      <c r="A529" s="778"/>
      <c r="B529" s="465"/>
      <c r="C529" s="1198"/>
      <c r="D529" s="789"/>
      <c r="E529" s="790" t="s">
        <v>552</v>
      </c>
      <c r="F529" s="791"/>
      <c r="G529" s="792"/>
      <c r="H529" s="793"/>
      <c r="I529" s="793"/>
      <c r="J529" s="793"/>
      <c r="K529" s="794"/>
      <c r="L529" s="795">
        <f>SUM(L530:L535)</f>
        <v>90000</v>
      </c>
      <c r="M529" s="795">
        <f>SUM(M530:M535)</f>
        <v>90000</v>
      </c>
      <c r="N529" s="11" t="s">
        <v>526</v>
      </c>
    </row>
    <row r="530" spans="1:47" s="50" customFormat="1" ht="69.75" customHeight="1">
      <c r="A530" s="414"/>
      <c r="B530" s="256"/>
      <c r="C530" s="1233"/>
      <c r="D530" s="263" t="s">
        <v>705</v>
      </c>
      <c r="E530" s="259" t="s">
        <v>553</v>
      </c>
      <c r="F530" s="260"/>
      <c r="G530" s="261"/>
      <c r="H530" s="260"/>
      <c r="I530" s="260"/>
      <c r="J530" s="260"/>
      <c r="K530" s="260"/>
      <c r="L530" s="262">
        <v>11000</v>
      </c>
      <c r="M530" s="262">
        <f aca="true" t="shared" si="89" ref="M530:M535">L530</f>
        <v>11000</v>
      </c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</row>
    <row r="531" spans="1:47" s="50" customFormat="1" ht="69.75" customHeight="1">
      <c r="A531" s="414"/>
      <c r="B531" s="256"/>
      <c r="C531" s="1233"/>
      <c r="D531" s="263" t="s">
        <v>705</v>
      </c>
      <c r="E531" s="259" t="s">
        <v>554</v>
      </c>
      <c r="F531" s="260"/>
      <c r="G531" s="261"/>
      <c r="H531" s="260"/>
      <c r="I531" s="260"/>
      <c r="J531" s="260"/>
      <c r="K531" s="260"/>
      <c r="L531" s="262">
        <v>5200</v>
      </c>
      <c r="M531" s="262">
        <f t="shared" si="89"/>
        <v>5200</v>
      </c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</row>
    <row r="532" spans="1:47" s="50" customFormat="1" ht="69.75" customHeight="1">
      <c r="A532" s="414"/>
      <c r="B532" s="256"/>
      <c r="C532" s="1233"/>
      <c r="D532" s="263" t="s">
        <v>705</v>
      </c>
      <c r="E532" s="259" t="s">
        <v>555</v>
      </c>
      <c r="F532" s="260"/>
      <c r="G532" s="261"/>
      <c r="H532" s="260"/>
      <c r="I532" s="260"/>
      <c r="J532" s="260"/>
      <c r="K532" s="260"/>
      <c r="L532" s="262">
        <v>16800</v>
      </c>
      <c r="M532" s="262">
        <f t="shared" si="89"/>
        <v>16800</v>
      </c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</row>
    <row r="533" spans="1:47" s="50" customFormat="1" ht="69.75" customHeight="1">
      <c r="A533" s="414"/>
      <c r="B533" s="256"/>
      <c r="C533" s="1233"/>
      <c r="D533" s="263" t="s">
        <v>705</v>
      </c>
      <c r="E533" s="259" t="s">
        <v>393</v>
      </c>
      <c r="F533" s="260"/>
      <c r="G533" s="261"/>
      <c r="H533" s="260"/>
      <c r="I533" s="260"/>
      <c r="J533" s="260"/>
      <c r="K533" s="260"/>
      <c r="L533" s="262">
        <v>45000</v>
      </c>
      <c r="M533" s="262">
        <f t="shared" si="89"/>
        <v>45000</v>
      </c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</row>
    <row r="534" spans="1:47" s="50" customFormat="1" ht="69.75" customHeight="1">
      <c r="A534" s="414"/>
      <c r="B534" s="256"/>
      <c r="C534" s="1233"/>
      <c r="D534" s="263" t="s">
        <v>705</v>
      </c>
      <c r="E534" s="259" t="s">
        <v>394</v>
      </c>
      <c r="F534" s="260"/>
      <c r="G534" s="261"/>
      <c r="H534" s="260"/>
      <c r="I534" s="260"/>
      <c r="J534" s="260"/>
      <c r="K534" s="260"/>
      <c r="L534" s="262">
        <v>3500</v>
      </c>
      <c r="M534" s="262">
        <f t="shared" si="89"/>
        <v>3500</v>
      </c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</row>
    <row r="535" spans="1:47" s="50" customFormat="1" ht="69.75" customHeight="1">
      <c r="A535" s="414"/>
      <c r="B535" s="256"/>
      <c r="C535" s="1234"/>
      <c r="D535" s="263" t="s">
        <v>705</v>
      </c>
      <c r="E535" s="1094" t="s">
        <v>395</v>
      </c>
      <c r="F535" s="268"/>
      <c r="G535" s="269"/>
      <c r="H535" s="268"/>
      <c r="I535" s="268"/>
      <c r="J535" s="268"/>
      <c r="K535" s="268"/>
      <c r="L535" s="270">
        <v>8500</v>
      </c>
      <c r="M535" s="270">
        <f t="shared" si="89"/>
        <v>8500</v>
      </c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</row>
    <row r="536" spans="1:47" s="46" customFormat="1" ht="69.75" customHeight="1">
      <c r="A536" s="400"/>
      <c r="B536" s="976"/>
      <c r="C536" s="1153">
        <v>4</v>
      </c>
      <c r="D536" s="727"/>
      <c r="E536" s="567" t="s">
        <v>653</v>
      </c>
      <c r="F536" s="1090"/>
      <c r="G536" s="1091"/>
      <c r="H536" s="1090"/>
      <c r="I536" s="1090"/>
      <c r="J536" s="1090"/>
      <c r="K536" s="1090"/>
      <c r="L536" s="320">
        <v>8000</v>
      </c>
      <c r="M536" s="320">
        <v>8000</v>
      </c>
      <c r="N536" s="66" t="s">
        <v>526</v>
      </c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</row>
    <row r="537" spans="1:47" s="46" customFormat="1" ht="69.75" customHeight="1">
      <c r="A537" s="400"/>
      <c r="B537" s="976"/>
      <c r="C537" s="1153">
        <v>5</v>
      </c>
      <c r="D537" s="727"/>
      <c r="E537" s="567" t="s">
        <v>654</v>
      </c>
      <c r="F537" s="1090"/>
      <c r="G537" s="1091"/>
      <c r="H537" s="1090"/>
      <c r="I537" s="1090"/>
      <c r="J537" s="1090"/>
      <c r="K537" s="1090"/>
      <c r="L537" s="320">
        <v>3000</v>
      </c>
      <c r="M537" s="320">
        <v>3000</v>
      </c>
      <c r="N537" s="66" t="s">
        <v>526</v>
      </c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</row>
    <row r="538" spans="1:47" s="46" customFormat="1" ht="83.25" customHeight="1">
      <c r="A538" s="400"/>
      <c r="B538" s="976"/>
      <c r="C538" s="1153">
        <v>6</v>
      </c>
      <c r="D538" s="727"/>
      <c r="E538" s="567" t="s">
        <v>468</v>
      </c>
      <c r="F538" s="1090"/>
      <c r="G538" s="1091"/>
      <c r="H538" s="1090"/>
      <c r="I538" s="1090"/>
      <c r="J538" s="1090"/>
      <c r="K538" s="1090"/>
      <c r="L538" s="320">
        <v>5000</v>
      </c>
      <c r="M538" s="320">
        <v>5000</v>
      </c>
      <c r="N538" s="66" t="s">
        <v>526</v>
      </c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</row>
    <row r="539" spans="1:47" s="46" customFormat="1" ht="69.75" customHeight="1">
      <c r="A539" s="400"/>
      <c r="B539" s="976"/>
      <c r="C539" s="1153">
        <v>7</v>
      </c>
      <c r="D539" s="727"/>
      <c r="E539" s="567" t="s">
        <v>655</v>
      </c>
      <c r="F539" s="1090"/>
      <c r="G539" s="1091"/>
      <c r="H539" s="1090"/>
      <c r="I539" s="1090"/>
      <c r="J539" s="1090"/>
      <c r="K539" s="1090"/>
      <c r="L539" s="320">
        <v>3000</v>
      </c>
      <c r="M539" s="320">
        <v>3000</v>
      </c>
      <c r="N539" s="66" t="s">
        <v>526</v>
      </c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</row>
    <row r="540" spans="1:47" s="46" customFormat="1" ht="83.25" customHeight="1">
      <c r="A540" s="400"/>
      <c r="B540" s="976"/>
      <c r="C540" s="1153">
        <v>8</v>
      </c>
      <c r="D540" s="727"/>
      <c r="E540" s="567" t="s">
        <v>469</v>
      </c>
      <c r="F540" s="1090"/>
      <c r="G540" s="1091"/>
      <c r="H540" s="1090"/>
      <c r="I540" s="1090"/>
      <c r="J540" s="1090"/>
      <c r="K540" s="1090"/>
      <c r="L540" s="320">
        <v>3000</v>
      </c>
      <c r="M540" s="320">
        <v>3000</v>
      </c>
      <c r="N540" s="66" t="s">
        <v>526</v>
      </c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</row>
    <row r="541" spans="1:47" s="46" customFormat="1" ht="99.75" customHeight="1">
      <c r="A541" s="400"/>
      <c r="B541" s="976"/>
      <c r="C541" s="1153">
        <v>9</v>
      </c>
      <c r="D541" s="727"/>
      <c r="E541" s="567" t="s">
        <v>470</v>
      </c>
      <c r="F541" s="1090"/>
      <c r="G541" s="1091"/>
      <c r="H541" s="1090"/>
      <c r="I541" s="1090"/>
      <c r="J541" s="1090"/>
      <c r="K541" s="1090"/>
      <c r="L541" s="320">
        <v>2000</v>
      </c>
      <c r="M541" s="320">
        <v>2000</v>
      </c>
      <c r="N541" s="66" t="s">
        <v>526</v>
      </c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</row>
    <row r="542" spans="1:47" s="46" customFormat="1" ht="69.75" customHeight="1">
      <c r="A542" s="400"/>
      <c r="B542" s="976"/>
      <c r="C542" s="1153">
        <v>10</v>
      </c>
      <c r="D542" s="727"/>
      <c r="E542" s="567" t="s">
        <v>656</v>
      </c>
      <c r="F542" s="1090"/>
      <c r="G542" s="1091"/>
      <c r="H542" s="1090"/>
      <c r="I542" s="1090"/>
      <c r="J542" s="1090"/>
      <c r="K542" s="1090"/>
      <c r="L542" s="320">
        <v>25000</v>
      </c>
      <c r="M542" s="320">
        <v>25000</v>
      </c>
      <c r="N542" s="66" t="s">
        <v>526</v>
      </c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</row>
    <row r="543" spans="1:47" s="46" customFormat="1" ht="69.75" customHeight="1">
      <c r="A543" s="400"/>
      <c r="B543" s="976"/>
      <c r="C543" s="1153">
        <v>11</v>
      </c>
      <c r="D543" s="727"/>
      <c r="E543" s="567" t="s">
        <v>658</v>
      </c>
      <c r="F543" s="1090"/>
      <c r="G543" s="1091"/>
      <c r="H543" s="1090"/>
      <c r="I543" s="1090"/>
      <c r="J543" s="1090"/>
      <c r="K543" s="1090"/>
      <c r="L543" s="320">
        <v>60000</v>
      </c>
      <c r="M543" s="320">
        <f>L543</f>
        <v>60000</v>
      </c>
      <c r="N543" s="66" t="s">
        <v>526</v>
      </c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</row>
    <row r="544" spans="1:47" s="46" customFormat="1" ht="126" customHeight="1">
      <c r="A544" s="400"/>
      <c r="B544" s="976"/>
      <c r="C544" s="1153">
        <v>12</v>
      </c>
      <c r="D544" s="727"/>
      <c r="E544" s="567" t="s">
        <v>471</v>
      </c>
      <c r="F544" s="1090"/>
      <c r="G544" s="1091"/>
      <c r="H544" s="1090"/>
      <c r="I544" s="1090"/>
      <c r="J544" s="1090"/>
      <c r="K544" s="1090"/>
      <c r="L544" s="320">
        <v>400000</v>
      </c>
      <c r="M544" s="320">
        <v>400000</v>
      </c>
      <c r="N544" s="66" t="s">
        <v>526</v>
      </c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</row>
    <row r="545" spans="1:14" s="46" customFormat="1" ht="69.75" customHeight="1">
      <c r="A545" s="400"/>
      <c r="B545" s="976"/>
      <c r="C545" s="1153">
        <v>13</v>
      </c>
      <c r="D545" s="727"/>
      <c r="E545" s="567" t="s">
        <v>657</v>
      </c>
      <c r="F545" s="1090"/>
      <c r="G545" s="1091"/>
      <c r="H545" s="1090"/>
      <c r="I545" s="1090"/>
      <c r="J545" s="1090"/>
      <c r="K545" s="1090"/>
      <c r="L545" s="320">
        <v>5000</v>
      </c>
      <c r="M545" s="320">
        <v>5000</v>
      </c>
      <c r="N545" s="46" t="s">
        <v>526</v>
      </c>
    </row>
    <row r="546" spans="1:14" s="46" customFormat="1" ht="85.5" customHeight="1">
      <c r="A546" s="400"/>
      <c r="B546" s="976"/>
      <c r="C546" s="1235">
        <v>14</v>
      </c>
      <c r="D546" s="1095"/>
      <c r="E546" s="1096" t="s">
        <v>472</v>
      </c>
      <c r="F546" s="1097"/>
      <c r="G546" s="1098"/>
      <c r="H546" s="1097"/>
      <c r="I546" s="1097"/>
      <c r="J546" s="1097"/>
      <c r="K546" s="1097"/>
      <c r="L546" s="1099">
        <v>6000</v>
      </c>
      <c r="M546" s="1099">
        <v>6000</v>
      </c>
      <c r="N546" s="46" t="s">
        <v>526</v>
      </c>
    </row>
    <row r="547" spans="1:13" s="38" customFormat="1" ht="45" customHeight="1">
      <c r="A547" s="400"/>
      <c r="B547" s="327">
        <v>92116</v>
      </c>
      <c r="C547" s="1160"/>
      <c r="D547" s="328"/>
      <c r="E547" s="329" t="s">
        <v>122</v>
      </c>
      <c r="F547" s="330">
        <v>0</v>
      </c>
      <c r="G547" s="331">
        <v>0</v>
      </c>
      <c r="H547" s="330">
        <v>0</v>
      </c>
      <c r="I547" s="330">
        <v>0</v>
      </c>
      <c r="J547" s="330">
        <v>0</v>
      </c>
      <c r="K547" s="330">
        <v>0</v>
      </c>
      <c r="L547" s="1025">
        <f>L548</f>
        <v>781142</v>
      </c>
      <c r="M547" s="1025">
        <f>M548</f>
        <v>781142</v>
      </c>
    </row>
    <row r="548" spans="1:14" s="46" customFormat="1" ht="37.5" customHeight="1">
      <c r="A548" s="400"/>
      <c r="B548" s="1100"/>
      <c r="C548" s="1159">
        <v>1</v>
      </c>
      <c r="D548" s="308"/>
      <c r="E548" s="459" t="s">
        <v>101</v>
      </c>
      <c r="F548" s="1101"/>
      <c r="G548" s="1102"/>
      <c r="H548" s="1101"/>
      <c r="I548" s="1101"/>
      <c r="J548" s="1101"/>
      <c r="K548" s="1101"/>
      <c r="L548" s="1103">
        <f>724142+L549</f>
        <v>781142</v>
      </c>
      <c r="M548" s="1103">
        <f>L548</f>
        <v>781142</v>
      </c>
      <c r="N548" s="46" t="s">
        <v>526</v>
      </c>
    </row>
    <row r="549" spans="1:14" s="11" customFormat="1" ht="33" customHeight="1">
      <c r="A549" s="778"/>
      <c r="B549" s="465"/>
      <c r="C549" s="1198"/>
      <c r="D549" s="789"/>
      <c r="E549" s="790" t="s">
        <v>552</v>
      </c>
      <c r="F549" s="791"/>
      <c r="G549" s="792"/>
      <c r="H549" s="793"/>
      <c r="I549" s="793"/>
      <c r="J549" s="793"/>
      <c r="K549" s="794"/>
      <c r="L549" s="795">
        <f>SUM(L550:L551)</f>
        <v>57000</v>
      </c>
      <c r="M549" s="795">
        <f>L549</f>
        <v>57000</v>
      </c>
      <c r="N549" s="11" t="s">
        <v>526</v>
      </c>
    </row>
    <row r="550" spans="1:47" s="50" customFormat="1" ht="49.5" customHeight="1">
      <c r="A550" s="414"/>
      <c r="B550" s="256"/>
      <c r="C550" s="1233"/>
      <c r="D550" s="263" t="s">
        <v>705</v>
      </c>
      <c r="E550" s="259" t="s">
        <v>396</v>
      </c>
      <c r="F550" s="260"/>
      <c r="G550" s="261"/>
      <c r="H550" s="260"/>
      <c r="I550" s="260"/>
      <c r="J550" s="260"/>
      <c r="K550" s="260"/>
      <c r="L550" s="262">
        <v>2000</v>
      </c>
      <c r="M550" s="262">
        <f>L550</f>
        <v>2000</v>
      </c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</row>
    <row r="551" spans="1:47" s="50" customFormat="1" ht="49.5" customHeight="1">
      <c r="A551" s="414"/>
      <c r="B551" s="256"/>
      <c r="C551" s="1233"/>
      <c r="D551" s="263" t="s">
        <v>705</v>
      </c>
      <c r="E551" s="259" t="s">
        <v>397</v>
      </c>
      <c r="F551" s="260"/>
      <c r="G551" s="261"/>
      <c r="H551" s="260"/>
      <c r="I551" s="260"/>
      <c r="J551" s="260"/>
      <c r="K551" s="260"/>
      <c r="L551" s="262">
        <v>55000</v>
      </c>
      <c r="M551" s="262">
        <f>L551</f>
        <v>55000</v>
      </c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</row>
    <row r="552" spans="1:47" s="50" customFormat="1" ht="49.5" customHeight="1">
      <c r="A552" s="414"/>
      <c r="B552" s="256"/>
      <c r="C552" s="1233"/>
      <c r="D552" s="263"/>
      <c r="E552" s="1104" t="s">
        <v>398</v>
      </c>
      <c r="F552" s="260"/>
      <c r="G552" s="261"/>
      <c r="H552" s="260"/>
      <c r="I552" s="260"/>
      <c r="J552" s="260"/>
      <c r="K552" s="260"/>
      <c r="L552" s="262"/>
      <c r="M552" s="262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</row>
    <row r="553" spans="1:47" s="50" customFormat="1" ht="49.5" customHeight="1">
      <c r="A553" s="414"/>
      <c r="B553" s="256"/>
      <c r="C553" s="1233"/>
      <c r="D553" s="263"/>
      <c r="E553" s="1104" t="s">
        <v>399</v>
      </c>
      <c r="F553" s="260"/>
      <c r="G553" s="261"/>
      <c r="H553" s="260"/>
      <c r="I553" s="260"/>
      <c r="J553" s="260"/>
      <c r="K553" s="260"/>
      <c r="L553" s="262"/>
      <c r="M553" s="262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</row>
    <row r="554" spans="1:47" s="50" customFormat="1" ht="49.5" customHeight="1">
      <c r="A554" s="414"/>
      <c r="B554" s="256"/>
      <c r="C554" s="1233"/>
      <c r="D554" s="263"/>
      <c r="E554" s="1104" t="s">
        <v>400</v>
      </c>
      <c r="F554" s="260"/>
      <c r="G554" s="261"/>
      <c r="H554" s="260"/>
      <c r="I554" s="260"/>
      <c r="J554" s="260"/>
      <c r="K554" s="260"/>
      <c r="L554" s="262"/>
      <c r="M554" s="262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</row>
    <row r="555" spans="1:47" s="50" customFormat="1" ht="49.5" customHeight="1">
      <c r="A555" s="414"/>
      <c r="B555" s="256"/>
      <c r="C555" s="1233"/>
      <c r="D555" s="263"/>
      <c r="E555" s="1104" t="s">
        <v>401</v>
      </c>
      <c r="F555" s="260"/>
      <c r="G555" s="261"/>
      <c r="H555" s="260"/>
      <c r="I555" s="260"/>
      <c r="J555" s="260"/>
      <c r="K555" s="260"/>
      <c r="L555" s="262"/>
      <c r="M555" s="262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</row>
    <row r="556" spans="1:13" s="38" customFormat="1" ht="45.75" customHeight="1">
      <c r="A556" s="400"/>
      <c r="B556" s="327">
        <v>92195</v>
      </c>
      <c r="C556" s="1160"/>
      <c r="D556" s="328"/>
      <c r="E556" s="329" t="s">
        <v>24</v>
      </c>
      <c r="F556" s="330">
        <v>0</v>
      </c>
      <c r="G556" s="331">
        <v>0</v>
      </c>
      <c r="H556" s="330">
        <v>0</v>
      </c>
      <c r="I556" s="330">
        <v>0</v>
      </c>
      <c r="J556" s="330">
        <v>0</v>
      </c>
      <c r="K556" s="330">
        <v>0</v>
      </c>
      <c r="L556" s="1025">
        <f>SUM(L557:L567)</f>
        <v>61700</v>
      </c>
      <c r="M556" s="1025">
        <f>SUM(M557:M567)</f>
        <v>61700</v>
      </c>
    </row>
    <row r="557" spans="1:14" s="46" customFormat="1" ht="267.75" customHeight="1">
      <c r="A557" s="400"/>
      <c r="B557" s="976"/>
      <c r="C557" s="1157">
        <v>1</v>
      </c>
      <c r="D557" s="181"/>
      <c r="E557" s="182" t="s">
        <v>1024</v>
      </c>
      <c r="F557" s="651"/>
      <c r="G557" s="652"/>
      <c r="H557" s="651"/>
      <c r="I557" s="651"/>
      <c r="J557" s="651"/>
      <c r="K557" s="651"/>
      <c r="L557" s="183">
        <v>10500</v>
      </c>
      <c r="M557" s="183">
        <v>10500</v>
      </c>
      <c r="N557" s="46" t="s">
        <v>526</v>
      </c>
    </row>
    <row r="558" spans="1:14" s="46" customFormat="1" ht="48.75" customHeight="1">
      <c r="A558" s="400"/>
      <c r="B558" s="976"/>
      <c r="C558" s="1154">
        <v>2</v>
      </c>
      <c r="D558" s="757"/>
      <c r="E558" s="563" t="s">
        <v>3</v>
      </c>
      <c r="F558" s="952"/>
      <c r="G558" s="1092"/>
      <c r="H558" s="952"/>
      <c r="I558" s="952"/>
      <c r="J558" s="952"/>
      <c r="K558" s="952"/>
      <c r="L558" s="1093">
        <v>15000</v>
      </c>
      <c r="M558" s="1093">
        <v>15000</v>
      </c>
      <c r="N558" s="46" t="s">
        <v>526</v>
      </c>
    </row>
    <row r="559" spans="1:13" s="50" customFormat="1" ht="39.75" customHeight="1">
      <c r="A559" s="414"/>
      <c r="B559" s="256"/>
      <c r="C559" s="1157"/>
      <c r="D559" s="263" t="s">
        <v>705</v>
      </c>
      <c r="E559" s="259" t="s">
        <v>659</v>
      </c>
      <c r="F559" s="260"/>
      <c r="G559" s="261"/>
      <c r="H559" s="260"/>
      <c r="I559" s="260"/>
      <c r="J559" s="260"/>
      <c r="K559" s="260"/>
      <c r="L559" s="262"/>
      <c r="M559" s="262"/>
    </row>
    <row r="560" spans="1:13" s="50" customFormat="1" ht="57.75" customHeight="1">
      <c r="A560" s="414"/>
      <c r="B560" s="256"/>
      <c r="C560" s="1157"/>
      <c r="D560" s="263" t="s">
        <v>705</v>
      </c>
      <c r="E560" s="259" t="s">
        <v>0</v>
      </c>
      <c r="F560" s="260"/>
      <c r="G560" s="261"/>
      <c r="H560" s="260"/>
      <c r="I560" s="260"/>
      <c r="J560" s="260"/>
      <c r="K560" s="260"/>
      <c r="L560" s="262"/>
      <c r="M560" s="262"/>
    </row>
    <row r="561" spans="1:13" s="50" customFormat="1" ht="52.5" customHeight="1">
      <c r="A561" s="414"/>
      <c r="B561" s="256"/>
      <c r="C561" s="1157"/>
      <c r="D561" s="263" t="s">
        <v>705</v>
      </c>
      <c r="E561" s="259" t="s">
        <v>1</v>
      </c>
      <c r="F561" s="260"/>
      <c r="G561" s="261"/>
      <c r="H561" s="260"/>
      <c r="I561" s="260"/>
      <c r="J561" s="260"/>
      <c r="K561" s="260"/>
      <c r="L561" s="262"/>
      <c r="M561" s="262"/>
    </row>
    <row r="562" spans="1:13" s="45" customFormat="1" ht="55.5" customHeight="1">
      <c r="A562" s="414"/>
      <c r="B562" s="256"/>
      <c r="C562" s="1156"/>
      <c r="D562" s="263" t="s">
        <v>705</v>
      </c>
      <c r="E562" s="1094" t="s">
        <v>2</v>
      </c>
      <c r="F562" s="268"/>
      <c r="G562" s="269"/>
      <c r="H562" s="268"/>
      <c r="I562" s="268"/>
      <c r="J562" s="268"/>
      <c r="K562" s="268"/>
      <c r="L562" s="270"/>
      <c r="M562" s="270"/>
    </row>
    <row r="563" spans="1:14" s="46" customFormat="1" ht="32.25" customHeight="1">
      <c r="A563" s="400"/>
      <c r="B563" s="976"/>
      <c r="C563" s="1153">
        <v>3</v>
      </c>
      <c r="D563" s="727"/>
      <c r="E563" s="567" t="s">
        <v>603</v>
      </c>
      <c r="F563" s="1090"/>
      <c r="G563" s="1091"/>
      <c r="H563" s="1090"/>
      <c r="I563" s="1090"/>
      <c r="J563" s="1090"/>
      <c r="K563" s="1090"/>
      <c r="L563" s="320">
        <v>3000</v>
      </c>
      <c r="M563" s="320">
        <v>3000</v>
      </c>
      <c r="N563" s="46" t="s">
        <v>526</v>
      </c>
    </row>
    <row r="564" spans="1:14" s="46" customFormat="1" ht="35.25" customHeight="1">
      <c r="A564" s="400"/>
      <c r="B564" s="976"/>
      <c r="C564" s="1153">
        <v>4</v>
      </c>
      <c r="D564" s="727"/>
      <c r="E564" s="567" t="s">
        <v>604</v>
      </c>
      <c r="F564" s="1090"/>
      <c r="G564" s="1091"/>
      <c r="H564" s="1090"/>
      <c r="I564" s="1090"/>
      <c r="J564" s="1090"/>
      <c r="K564" s="1090"/>
      <c r="L564" s="320">
        <v>1000</v>
      </c>
      <c r="M564" s="320">
        <v>1000</v>
      </c>
      <c r="N564" s="46" t="s">
        <v>526</v>
      </c>
    </row>
    <row r="565" spans="1:14" s="46" customFormat="1" ht="79.5" customHeight="1">
      <c r="A565" s="400"/>
      <c r="B565" s="976"/>
      <c r="C565" s="1153">
        <v>5</v>
      </c>
      <c r="D565" s="727"/>
      <c r="E565" s="567" t="s">
        <v>605</v>
      </c>
      <c r="F565" s="1090"/>
      <c r="G565" s="1091"/>
      <c r="H565" s="1090"/>
      <c r="I565" s="1090"/>
      <c r="J565" s="1090"/>
      <c r="K565" s="1090"/>
      <c r="L565" s="320">
        <v>1200</v>
      </c>
      <c r="M565" s="320">
        <v>1200</v>
      </c>
      <c r="N565" s="46" t="s">
        <v>526</v>
      </c>
    </row>
    <row r="566" spans="1:14" s="46" customFormat="1" ht="33" customHeight="1">
      <c r="A566" s="400"/>
      <c r="B566" s="976"/>
      <c r="C566" s="1235">
        <v>6</v>
      </c>
      <c r="D566" s="1095"/>
      <c r="E566" s="1096" t="s">
        <v>606</v>
      </c>
      <c r="F566" s="1097"/>
      <c r="G566" s="1098"/>
      <c r="H566" s="1097"/>
      <c r="I566" s="1097"/>
      <c r="J566" s="1097"/>
      <c r="K566" s="1097"/>
      <c r="L566" s="1099">
        <v>5000</v>
      </c>
      <c r="M566" s="1099">
        <v>5000</v>
      </c>
      <c r="N566" s="46" t="s">
        <v>526</v>
      </c>
    </row>
    <row r="567" spans="1:14" s="115" customFormat="1" ht="90" customHeight="1">
      <c r="A567" s="975"/>
      <c r="B567" s="976"/>
      <c r="C567" s="1153">
        <v>7</v>
      </c>
      <c r="D567" s="222"/>
      <c r="E567" s="223" t="s">
        <v>1025</v>
      </c>
      <c r="F567" s="224"/>
      <c r="G567" s="980"/>
      <c r="H567" s="981"/>
      <c r="I567" s="981"/>
      <c r="J567" s="224"/>
      <c r="K567" s="224"/>
      <c r="L567" s="982">
        <v>26000</v>
      </c>
      <c r="M567" s="983">
        <f>L567</f>
        <v>26000</v>
      </c>
      <c r="N567" s="115" t="s">
        <v>526</v>
      </c>
    </row>
    <row r="568" spans="1:13" s="46" customFormat="1" ht="46.5" customHeight="1">
      <c r="A568" s="151">
        <v>17</v>
      </c>
      <c r="B568" s="152">
        <v>926</v>
      </c>
      <c r="C568" s="1148"/>
      <c r="D568" s="154"/>
      <c r="E568" s="155" t="s">
        <v>123</v>
      </c>
      <c r="F568" s="156">
        <f>F569+F574</f>
        <v>0</v>
      </c>
      <c r="G568" s="156">
        <f aca="true" t="shared" si="90" ref="G568:M568">G569+G574</f>
        <v>0</v>
      </c>
      <c r="H568" s="156">
        <f t="shared" si="90"/>
        <v>1550000</v>
      </c>
      <c r="I568" s="156">
        <f t="shared" si="90"/>
        <v>0</v>
      </c>
      <c r="J568" s="156">
        <f t="shared" si="90"/>
        <v>0</v>
      </c>
      <c r="K568" s="156">
        <f t="shared" si="90"/>
        <v>0</v>
      </c>
      <c r="L568" s="156">
        <f t="shared" si="90"/>
        <v>874521</v>
      </c>
      <c r="M568" s="156">
        <f t="shared" si="90"/>
        <v>2424521</v>
      </c>
    </row>
    <row r="569" spans="1:255" s="38" customFormat="1" ht="45.75" customHeight="1">
      <c r="A569" s="400"/>
      <c r="B569" s="327">
        <v>92605</v>
      </c>
      <c r="C569" s="1160"/>
      <c r="D569" s="328"/>
      <c r="E569" s="329" t="s">
        <v>764</v>
      </c>
      <c r="F569" s="330">
        <v>0</v>
      </c>
      <c r="G569" s="331">
        <v>0</v>
      </c>
      <c r="H569" s="330">
        <v>0</v>
      </c>
      <c r="I569" s="330">
        <v>0</v>
      </c>
      <c r="J569" s="330">
        <v>0</v>
      </c>
      <c r="K569" s="330">
        <v>0</v>
      </c>
      <c r="L569" s="1025">
        <f>L570+L571+L572+L573</f>
        <v>24500</v>
      </c>
      <c r="M569" s="1025">
        <f>M570+M571+M572+M573</f>
        <v>24500</v>
      </c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 s="54"/>
      <c r="CL569" s="54"/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  <c r="CW569" s="54"/>
      <c r="CX569" s="54"/>
      <c r="CY569" s="54"/>
      <c r="CZ569" s="54"/>
      <c r="DA569" s="54"/>
      <c r="DB569" s="54"/>
      <c r="DC569" s="54"/>
      <c r="DD569" s="54"/>
      <c r="DE569" s="54"/>
      <c r="DF569" s="54"/>
      <c r="DG569" s="54"/>
      <c r="DH569" s="54"/>
      <c r="DI569" s="54"/>
      <c r="DJ569" s="54"/>
      <c r="DK569" s="54"/>
      <c r="DL569" s="54"/>
      <c r="DM569" s="54"/>
      <c r="DN569" s="54"/>
      <c r="DO569" s="54"/>
      <c r="DP569" s="54"/>
      <c r="DQ569" s="54"/>
      <c r="DR569" s="54"/>
      <c r="DS569" s="54"/>
      <c r="DT569" s="54"/>
      <c r="DU569" s="54"/>
      <c r="DV569" s="54"/>
      <c r="DW569" s="54"/>
      <c r="DX569" s="54"/>
      <c r="DY569" s="54"/>
      <c r="DZ569" s="54"/>
      <c r="EA569" s="54"/>
      <c r="EB569" s="54"/>
      <c r="EC569" s="54"/>
      <c r="ED569" s="54"/>
      <c r="EE569" s="54"/>
      <c r="EF569" s="54"/>
      <c r="EG569" s="54"/>
      <c r="EH569" s="54"/>
      <c r="EI569" s="54"/>
      <c r="EJ569" s="54"/>
      <c r="EK569" s="54"/>
      <c r="EL569" s="54"/>
      <c r="EM569" s="54"/>
      <c r="EN569" s="54"/>
      <c r="EO569" s="20"/>
      <c r="EP569" s="21"/>
      <c r="EQ569" s="19"/>
      <c r="ER569" s="15"/>
      <c r="ES569" s="15"/>
      <c r="ET569" s="15"/>
      <c r="EU569" s="15"/>
      <c r="EV569" s="15"/>
      <c r="EW569" s="15"/>
      <c r="EX569" s="15"/>
      <c r="EY569" s="16"/>
      <c r="EZ569" s="17"/>
      <c r="FA569" s="14"/>
      <c r="FB569" s="20"/>
      <c r="FC569" s="21"/>
      <c r="FD569" s="19"/>
      <c r="FE569" s="15"/>
      <c r="FF569" s="15"/>
      <c r="FG569" s="15"/>
      <c r="FH569" s="15"/>
      <c r="FI569" s="15"/>
      <c r="FJ569" s="15"/>
      <c r="FK569" s="15"/>
      <c r="FL569" s="16"/>
      <c r="FM569" s="17"/>
      <c r="FN569" s="14"/>
      <c r="FO569" s="20"/>
      <c r="FP569" s="21"/>
      <c r="FQ569" s="19"/>
      <c r="FR569" s="15"/>
      <c r="FS569" s="15"/>
      <c r="FT569" s="15"/>
      <c r="FU569" s="15"/>
      <c r="FV569" s="15"/>
      <c r="FW569" s="15"/>
      <c r="FX569" s="15"/>
      <c r="FY569" s="16"/>
      <c r="FZ569" s="17"/>
      <c r="GA569" s="14"/>
      <c r="GB569" s="20"/>
      <c r="GC569" s="21"/>
      <c r="GD569" s="19"/>
      <c r="GE569" s="15"/>
      <c r="GF569" s="15"/>
      <c r="GG569" s="15"/>
      <c r="GH569" s="15"/>
      <c r="GI569" s="15"/>
      <c r="GJ569" s="15"/>
      <c r="GK569" s="15"/>
      <c r="GL569" s="16"/>
      <c r="GM569" s="17"/>
      <c r="GN569" s="14"/>
      <c r="GO569" s="20"/>
      <c r="GP569" s="21"/>
      <c r="GQ569" s="19"/>
      <c r="GR569" s="15"/>
      <c r="GS569" s="15"/>
      <c r="GT569" s="15"/>
      <c r="GU569" s="15"/>
      <c r="GV569" s="15"/>
      <c r="GW569" s="15"/>
      <c r="GX569" s="15"/>
      <c r="GY569" s="16"/>
      <c r="GZ569" s="17"/>
      <c r="HA569" s="14"/>
      <c r="HB569" s="20"/>
      <c r="HC569" s="21"/>
      <c r="HD569" s="19"/>
      <c r="HE569" s="15"/>
      <c r="HF569" s="15"/>
      <c r="HG569" s="15"/>
      <c r="HH569" s="15"/>
      <c r="HI569" s="15"/>
      <c r="HJ569" s="15"/>
      <c r="HK569" s="15"/>
      <c r="HL569" s="16"/>
      <c r="HM569" s="17"/>
      <c r="HN569" s="14"/>
      <c r="HO569" s="20"/>
      <c r="HP569" s="21"/>
      <c r="HQ569" s="19"/>
      <c r="HR569" s="15"/>
      <c r="HS569" s="15"/>
      <c r="HT569" s="15"/>
      <c r="HU569" s="15"/>
      <c r="HV569" s="15"/>
      <c r="HW569" s="15"/>
      <c r="HX569" s="15"/>
      <c r="HY569" s="16"/>
      <c r="HZ569" s="17"/>
      <c r="IA569" s="14"/>
      <c r="IB569" s="20"/>
      <c r="IC569" s="21"/>
      <c r="ID569" s="19"/>
      <c r="IE569" s="15"/>
      <c r="IF569" s="15"/>
      <c r="IG569" s="15"/>
      <c r="IH569" s="15"/>
      <c r="II569" s="15"/>
      <c r="IJ569" s="15"/>
      <c r="IK569" s="15"/>
      <c r="IL569" s="16"/>
      <c r="IM569" s="17"/>
      <c r="IN569" s="14"/>
      <c r="IO569" s="20"/>
      <c r="IP569" s="21"/>
      <c r="IQ569" s="19"/>
      <c r="IR569" s="15"/>
      <c r="IS569" s="15"/>
      <c r="IT569" s="15"/>
      <c r="IU569" s="15"/>
    </row>
    <row r="570" spans="1:255" s="118" customFormat="1" ht="57" customHeight="1">
      <c r="A570" s="1105"/>
      <c r="B570" s="1100"/>
      <c r="C570" s="1159">
        <v>1</v>
      </c>
      <c r="D570" s="308"/>
      <c r="E570" s="459" t="s">
        <v>607</v>
      </c>
      <c r="F570" s="1101"/>
      <c r="G570" s="1102"/>
      <c r="H570" s="1101"/>
      <c r="I570" s="1101"/>
      <c r="J570" s="1101"/>
      <c r="K570" s="1101"/>
      <c r="L570" s="1103">
        <v>8000</v>
      </c>
      <c r="M570" s="1103">
        <v>8000</v>
      </c>
      <c r="N570" s="118" t="s">
        <v>526</v>
      </c>
      <c r="EO570" s="117"/>
      <c r="EP570" s="117"/>
      <c r="EQ570" s="70"/>
      <c r="ER570" s="119"/>
      <c r="ES570" s="119"/>
      <c r="ET570" s="119"/>
      <c r="EU570" s="119"/>
      <c r="EV570" s="119"/>
      <c r="EW570" s="119"/>
      <c r="EX570" s="119"/>
      <c r="EY570" s="120"/>
      <c r="EZ570" s="116"/>
      <c r="FA570" s="121"/>
      <c r="FB570" s="117"/>
      <c r="FC570" s="117"/>
      <c r="FD570" s="70"/>
      <c r="FE570" s="119"/>
      <c r="FF570" s="119"/>
      <c r="FG570" s="119"/>
      <c r="FH570" s="119"/>
      <c r="FI570" s="119"/>
      <c r="FJ570" s="119"/>
      <c r="FK570" s="119"/>
      <c r="FL570" s="120"/>
      <c r="FM570" s="116"/>
      <c r="FN570" s="121"/>
      <c r="FO570" s="117"/>
      <c r="FP570" s="117"/>
      <c r="FQ570" s="70"/>
      <c r="FR570" s="119"/>
      <c r="FS570" s="119"/>
      <c r="FT570" s="119"/>
      <c r="FU570" s="119"/>
      <c r="FV570" s="119"/>
      <c r="FW570" s="119"/>
      <c r="FX570" s="119"/>
      <c r="FY570" s="120"/>
      <c r="FZ570" s="116"/>
      <c r="GA570" s="121"/>
      <c r="GB570" s="117"/>
      <c r="GC570" s="117"/>
      <c r="GD570" s="70"/>
      <c r="GE570" s="119"/>
      <c r="GF570" s="119"/>
      <c r="GG570" s="119"/>
      <c r="GH570" s="119"/>
      <c r="GI570" s="119"/>
      <c r="GJ570" s="119"/>
      <c r="GK570" s="119"/>
      <c r="GL570" s="120"/>
      <c r="GM570" s="116"/>
      <c r="GN570" s="121"/>
      <c r="GO570" s="117"/>
      <c r="GP570" s="117"/>
      <c r="GQ570" s="70"/>
      <c r="GR570" s="119"/>
      <c r="GS570" s="119"/>
      <c r="GT570" s="119"/>
      <c r="GU570" s="119"/>
      <c r="GV570" s="119"/>
      <c r="GW570" s="119"/>
      <c r="GX570" s="119"/>
      <c r="GY570" s="120"/>
      <c r="GZ570" s="116"/>
      <c r="HA570" s="121"/>
      <c r="HB570" s="117"/>
      <c r="HC570" s="117"/>
      <c r="HD570" s="70"/>
      <c r="HE570" s="119"/>
      <c r="HF570" s="119"/>
      <c r="HG570" s="119"/>
      <c r="HH570" s="119"/>
      <c r="HI570" s="119"/>
      <c r="HJ570" s="119"/>
      <c r="HK570" s="119"/>
      <c r="HL570" s="120"/>
      <c r="HM570" s="116"/>
      <c r="HN570" s="121"/>
      <c r="HO570" s="117"/>
      <c r="HP570" s="117"/>
      <c r="HQ570" s="70"/>
      <c r="HR570" s="119"/>
      <c r="HS570" s="119"/>
      <c r="HT570" s="119"/>
      <c r="HU570" s="119"/>
      <c r="HV570" s="119"/>
      <c r="HW570" s="119"/>
      <c r="HX570" s="119"/>
      <c r="HY570" s="120"/>
      <c r="HZ570" s="116"/>
      <c r="IA570" s="121"/>
      <c r="IB570" s="117"/>
      <c r="IC570" s="117"/>
      <c r="ID570" s="70"/>
      <c r="IE570" s="119"/>
      <c r="IF570" s="119"/>
      <c r="IG570" s="119"/>
      <c r="IH570" s="119"/>
      <c r="II570" s="119"/>
      <c r="IJ570" s="119"/>
      <c r="IK570" s="119"/>
      <c r="IL570" s="120"/>
      <c r="IM570" s="116"/>
      <c r="IN570" s="121"/>
      <c r="IO570" s="117"/>
      <c r="IP570" s="117"/>
      <c r="IQ570" s="70"/>
      <c r="IR570" s="119"/>
      <c r="IS570" s="119"/>
      <c r="IT570" s="119"/>
      <c r="IU570" s="119"/>
    </row>
    <row r="571" spans="1:255" s="47" customFormat="1" ht="63.75" customHeight="1">
      <c r="A571" s="400"/>
      <c r="B571" s="976"/>
      <c r="C571" s="1153">
        <v>2</v>
      </c>
      <c r="D571" s="727"/>
      <c r="E571" s="567" t="s">
        <v>608</v>
      </c>
      <c r="F571" s="1090"/>
      <c r="G571" s="1091"/>
      <c r="H571" s="1090"/>
      <c r="I571" s="1090"/>
      <c r="J571" s="1090"/>
      <c r="K571" s="1090"/>
      <c r="L571" s="320">
        <v>7000</v>
      </c>
      <c r="M571" s="320">
        <v>7000</v>
      </c>
      <c r="N571" s="122" t="s">
        <v>526</v>
      </c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22"/>
      <c r="AE571" s="122"/>
      <c r="AF571" s="122"/>
      <c r="AG571" s="122"/>
      <c r="AH571" s="122"/>
      <c r="AI571" s="122"/>
      <c r="AJ571" s="122"/>
      <c r="AK571" s="122"/>
      <c r="AL571" s="122"/>
      <c r="AM571" s="122"/>
      <c r="AN571" s="122"/>
      <c r="AO571" s="122"/>
      <c r="AP571" s="122"/>
      <c r="AQ571" s="122"/>
      <c r="AR571" s="122"/>
      <c r="AS571" s="122"/>
      <c r="AT571" s="122"/>
      <c r="AU571" s="122"/>
      <c r="AV571" s="122"/>
      <c r="AW571" s="122"/>
      <c r="AX571" s="122"/>
      <c r="AY571" s="122"/>
      <c r="AZ571" s="122"/>
      <c r="BA571" s="122"/>
      <c r="BB571" s="122"/>
      <c r="BC571" s="122"/>
      <c r="BD571" s="122"/>
      <c r="BE571" s="122"/>
      <c r="BF571" s="122"/>
      <c r="BG571" s="122"/>
      <c r="BH571" s="122"/>
      <c r="BI571" s="122"/>
      <c r="BJ571" s="122"/>
      <c r="BK571" s="122"/>
      <c r="BL571" s="122"/>
      <c r="BM571" s="122"/>
      <c r="BN571" s="122"/>
      <c r="BO571" s="122"/>
      <c r="BP571" s="122"/>
      <c r="BQ571" s="122"/>
      <c r="BR571" s="122"/>
      <c r="BS571" s="122"/>
      <c r="BT571" s="122"/>
      <c r="BU571" s="122"/>
      <c r="BV571" s="122"/>
      <c r="BW571" s="122"/>
      <c r="BX571" s="122"/>
      <c r="BY571" s="122"/>
      <c r="BZ571" s="122"/>
      <c r="CA571" s="122"/>
      <c r="CB571" s="122"/>
      <c r="CC571" s="122"/>
      <c r="CD571" s="122"/>
      <c r="CE571" s="122"/>
      <c r="CF571" s="122"/>
      <c r="CG571" s="122"/>
      <c r="CH571" s="122"/>
      <c r="CI571" s="122"/>
      <c r="CJ571" s="122"/>
      <c r="CK571" s="122"/>
      <c r="CL571" s="122"/>
      <c r="CM571" s="122"/>
      <c r="CN571" s="122"/>
      <c r="CO571" s="122"/>
      <c r="CP571" s="122"/>
      <c r="CQ571" s="122"/>
      <c r="CR571" s="122"/>
      <c r="CS571" s="122"/>
      <c r="CT571" s="122"/>
      <c r="CU571" s="122"/>
      <c r="CV571" s="122"/>
      <c r="CW571" s="122"/>
      <c r="CX571" s="122"/>
      <c r="CY571" s="122"/>
      <c r="CZ571" s="122"/>
      <c r="DA571" s="122"/>
      <c r="DB571" s="122"/>
      <c r="DC571" s="122"/>
      <c r="DD571" s="122"/>
      <c r="DE571" s="122"/>
      <c r="DF571" s="122"/>
      <c r="DG571" s="122"/>
      <c r="DH571" s="122"/>
      <c r="DI571" s="122"/>
      <c r="DJ571" s="122"/>
      <c r="DK571" s="122"/>
      <c r="DL571" s="122"/>
      <c r="DM571" s="122"/>
      <c r="DN571" s="122"/>
      <c r="DO571" s="122"/>
      <c r="DP571" s="122"/>
      <c r="DQ571" s="122"/>
      <c r="DR571" s="122"/>
      <c r="DS571" s="122"/>
      <c r="DT571" s="122"/>
      <c r="DU571" s="122"/>
      <c r="DV571" s="122"/>
      <c r="DW571" s="122"/>
      <c r="DX571" s="122"/>
      <c r="DY571" s="122"/>
      <c r="DZ571" s="122"/>
      <c r="EA571" s="122"/>
      <c r="EB571" s="122"/>
      <c r="EC571" s="122"/>
      <c r="ED571" s="122"/>
      <c r="EE571" s="122"/>
      <c r="EF571" s="122"/>
      <c r="EG571" s="122"/>
      <c r="EH571" s="122"/>
      <c r="EI571" s="122"/>
      <c r="EJ571" s="122"/>
      <c r="EK571" s="122"/>
      <c r="EL571" s="122"/>
      <c r="EM571" s="122"/>
      <c r="EN571" s="122"/>
      <c r="EO571" s="123"/>
      <c r="EP571" s="123"/>
      <c r="EQ571" s="124"/>
      <c r="ER571" s="125"/>
      <c r="ES571" s="125"/>
      <c r="ET571" s="125"/>
      <c r="EU571" s="125"/>
      <c r="EV571" s="125"/>
      <c r="EW571" s="125"/>
      <c r="EX571" s="125"/>
      <c r="EY571" s="126"/>
      <c r="EZ571" s="22"/>
      <c r="FA571" s="127"/>
      <c r="FB571" s="123"/>
      <c r="FC571" s="123"/>
      <c r="FD571" s="124"/>
      <c r="FE571" s="125"/>
      <c r="FF571" s="125"/>
      <c r="FG571" s="125"/>
      <c r="FH571" s="125"/>
      <c r="FI571" s="125"/>
      <c r="FJ571" s="125"/>
      <c r="FK571" s="125"/>
      <c r="FL571" s="126"/>
      <c r="FM571" s="22"/>
      <c r="FN571" s="127"/>
      <c r="FO571" s="123"/>
      <c r="FP571" s="123"/>
      <c r="FQ571" s="124"/>
      <c r="FR571" s="125"/>
      <c r="FS571" s="125"/>
      <c r="FT571" s="125"/>
      <c r="FU571" s="125"/>
      <c r="FV571" s="125"/>
      <c r="FW571" s="125"/>
      <c r="FX571" s="125"/>
      <c r="FY571" s="126"/>
      <c r="FZ571" s="22"/>
      <c r="GA571" s="127"/>
      <c r="GB571" s="123"/>
      <c r="GC571" s="123"/>
      <c r="GD571" s="124"/>
      <c r="GE571" s="125"/>
      <c r="GF571" s="125"/>
      <c r="GG571" s="125"/>
      <c r="GH571" s="125"/>
      <c r="GI571" s="125"/>
      <c r="GJ571" s="125"/>
      <c r="GK571" s="125"/>
      <c r="GL571" s="126"/>
      <c r="GM571" s="22"/>
      <c r="GN571" s="127"/>
      <c r="GO571" s="123"/>
      <c r="GP571" s="123"/>
      <c r="GQ571" s="124"/>
      <c r="GR571" s="125"/>
      <c r="GS571" s="125"/>
      <c r="GT571" s="125"/>
      <c r="GU571" s="125"/>
      <c r="GV571" s="125"/>
      <c r="GW571" s="125"/>
      <c r="GX571" s="125"/>
      <c r="GY571" s="126"/>
      <c r="GZ571" s="22"/>
      <c r="HA571" s="127"/>
      <c r="HB571" s="123"/>
      <c r="HC571" s="123"/>
      <c r="HD571" s="124"/>
      <c r="HE571" s="125"/>
      <c r="HF571" s="125"/>
      <c r="HG571" s="125"/>
      <c r="HH571" s="125"/>
      <c r="HI571" s="125"/>
      <c r="HJ571" s="125"/>
      <c r="HK571" s="125"/>
      <c r="HL571" s="126"/>
      <c r="HM571" s="22"/>
      <c r="HN571" s="127"/>
      <c r="HO571" s="123"/>
      <c r="HP571" s="123"/>
      <c r="HQ571" s="124"/>
      <c r="HR571" s="125"/>
      <c r="HS571" s="125"/>
      <c r="HT571" s="125"/>
      <c r="HU571" s="125"/>
      <c r="HV571" s="125"/>
      <c r="HW571" s="125"/>
      <c r="HX571" s="125"/>
      <c r="HY571" s="126"/>
      <c r="HZ571" s="22"/>
      <c r="IA571" s="127"/>
      <c r="IB571" s="123"/>
      <c r="IC571" s="123"/>
      <c r="ID571" s="124"/>
      <c r="IE571" s="125"/>
      <c r="IF571" s="125"/>
      <c r="IG571" s="125"/>
      <c r="IH571" s="125"/>
      <c r="II571" s="125"/>
      <c r="IJ571" s="125"/>
      <c r="IK571" s="125"/>
      <c r="IL571" s="126"/>
      <c r="IM571" s="22"/>
      <c r="IN571" s="127"/>
      <c r="IO571" s="123"/>
      <c r="IP571" s="123"/>
      <c r="IQ571" s="124"/>
      <c r="IR571" s="125"/>
      <c r="IS571" s="125"/>
      <c r="IT571" s="125"/>
      <c r="IU571" s="125"/>
    </row>
    <row r="572" spans="1:255" s="46" customFormat="1" ht="186.75" customHeight="1">
      <c r="A572" s="400"/>
      <c r="B572" s="976"/>
      <c r="C572" s="1153">
        <v>3</v>
      </c>
      <c r="D572" s="727"/>
      <c r="E572" s="567" t="s">
        <v>1026</v>
      </c>
      <c r="F572" s="1090"/>
      <c r="G572" s="1091"/>
      <c r="H572" s="1090"/>
      <c r="I572" s="1090"/>
      <c r="J572" s="1090"/>
      <c r="K572" s="1090"/>
      <c r="L572" s="320">
        <v>5000</v>
      </c>
      <c r="M572" s="320">
        <v>5000</v>
      </c>
      <c r="N572" s="128" t="s">
        <v>526</v>
      </c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  <c r="AA572" s="128"/>
      <c r="AB572" s="128"/>
      <c r="AC572" s="128"/>
      <c r="AD572" s="128"/>
      <c r="AE572" s="128"/>
      <c r="AF572" s="128"/>
      <c r="AG572" s="128"/>
      <c r="AH572" s="128"/>
      <c r="AI572" s="128"/>
      <c r="AJ572" s="128"/>
      <c r="AK572" s="128"/>
      <c r="AL572" s="128"/>
      <c r="AM572" s="128"/>
      <c r="AN572" s="128"/>
      <c r="AO572" s="128"/>
      <c r="AP572" s="128"/>
      <c r="AQ572" s="128"/>
      <c r="AR572" s="128"/>
      <c r="AS572" s="128"/>
      <c r="AT572" s="128"/>
      <c r="AU572" s="128"/>
      <c r="AV572" s="128"/>
      <c r="AW572" s="128"/>
      <c r="AX572" s="128"/>
      <c r="AY572" s="128"/>
      <c r="AZ572" s="128"/>
      <c r="BA572" s="128"/>
      <c r="BB572" s="128"/>
      <c r="BC572" s="128"/>
      <c r="BD572" s="128"/>
      <c r="BE572" s="128"/>
      <c r="BF572" s="128"/>
      <c r="BG572" s="128"/>
      <c r="BH572" s="128"/>
      <c r="BI572" s="128"/>
      <c r="BJ572" s="128"/>
      <c r="BK572" s="128"/>
      <c r="BL572" s="128"/>
      <c r="BM572" s="128"/>
      <c r="BN572" s="128"/>
      <c r="BO572" s="128"/>
      <c r="BP572" s="128"/>
      <c r="BQ572" s="128"/>
      <c r="BR572" s="128"/>
      <c r="BS572" s="128"/>
      <c r="BT572" s="128"/>
      <c r="BU572" s="128"/>
      <c r="BV572" s="128"/>
      <c r="BW572" s="128"/>
      <c r="BX572" s="128"/>
      <c r="BY572" s="128"/>
      <c r="BZ572" s="128"/>
      <c r="CA572" s="128"/>
      <c r="CB572" s="128"/>
      <c r="CC572" s="128"/>
      <c r="CD572" s="128"/>
      <c r="CE572" s="128"/>
      <c r="CF572" s="128"/>
      <c r="CG572" s="128"/>
      <c r="CH572" s="128"/>
      <c r="CI572" s="128"/>
      <c r="CJ572" s="128"/>
      <c r="CK572" s="128"/>
      <c r="CL572" s="128"/>
      <c r="CM572" s="128"/>
      <c r="CN572" s="128"/>
      <c r="CO572" s="128"/>
      <c r="CP572" s="128"/>
      <c r="CQ572" s="128"/>
      <c r="CR572" s="128"/>
      <c r="CS572" s="128"/>
      <c r="CT572" s="128"/>
      <c r="CU572" s="128"/>
      <c r="CV572" s="128"/>
      <c r="CW572" s="128"/>
      <c r="CX572" s="128"/>
      <c r="CY572" s="128"/>
      <c r="CZ572" s="128"/>
      <c r="DA572" s="128"/>
      <c r="DB572" s="128"/>
      <c r="DC572" s="128"/>
      <c r="DD572" s="128"/>
      <c r="DE572" s="128"/>
      <c r="DF572" s="128"/>
      <c r="DG572" s="128"/>
      <c r="DH572" s="128"/>
      <c r="DI572" s="128"/>
      <c r="DJ572" s="128"/>
      <c r="DK572" s="128"/>
      <c r="DL572" s="128"/>
      <c r="DM572" s="128"/>
      <c r="DN572" s="128"/>
      <c r="DO572" s="128"/>
      <c r="DP572" s="128"/>
      <c r="DQ572" s="128"/>
      <c r="DR572" s="128"/>
      <c r="DS572" s="128"/>
      <c r="DT572" s="128"/>
      <c r="DU572" s="128"/>
      <c r="DV572" s="128"/>
      <c r="DW572" s="128"/>
      <c r="DX572" s="128"/>
      <c r="DY572" s="128"/>
      <c r="DZ572" s="128"/>
      <c r="EA572" s="128"/>
      <c r="EB572" s="128"/>
      <c r="EC572" s="128"/>
      <c r="ED572" s="128"/>
      <c r="EE572" s="128"/>
      <c r="EF572" s="128"/>
      <c r="EG572" s="128"/>
      <c r="EH572" s="128"/>
      <c r="EI572" s="128"/>
      <c r="EJ572" s="128"/>
      <c r="EK572" s="128"/>
      <c r="EL572" s="128"/>
      <c r="EM572" s="128"/>
      <c r="EN572" s="128"/>
      <c r="EO572" s="129"/>
      <c r="EP572" s="130"/>
      <c r="EQ572" s="131"/>
      <c r="ER572" s="132"/>
      <c r="ES572" s="132"/>
      <c r="ET572" s="132"/>
      <c r="EU572" s="132"/>
      <c r="EV572" s="132"/>
      <c r="EW572" s="132"/>
      <c r="EX572" s="132"/>
      <c r="EY572" s="133"/>
      <c r="EZ572" s="22"/>
      <c r="FA572" s="134"/>
      <c r="FB572" s="129"/>
      <c r="FC572" s="130"/>
      <c r="FD572" s="131"/>
      <c r="FE572" s="132"/>
      <c r="FF572" s="132"/>
      <c r="FG572" s="132"/>
      <c r="FH572" s="132"/>
      <c r="FI572" s="132"/>
      <c r="FJ572" s="132"/>
      <c r="FK572" s="132"/>
      <c r="FL572" s="133"/>
      <c r="FM572" s="22"/>
      <c r="FN572" s="134"/>
      <c r="FO572" s="129"/>
      <c r="FP572" s="130"/>
      <c r="FQ572" s="131"/>
      <c r="FR572" s="132"/>
      <c r="FS572" s="132"/>
      <c r="FT572" s="132"/>
      <c r="FU572" s="132"/>
      <c r="FV572" s="132"/>
      <c r="FW572" s="132"/>
      <c r="FX572" s="132"/>
      <c r="FY572" s="133"/>
      <c r="FZ572" s="22"/>
      <c r="GA572" s="134"/>
      <c r="GB572" s="129"/>
      <c r="GC572" s="130"/>
      <c r="GD572" s="131"/>
      <c r="GE572" s="132"/>
      <c r="GF572" s="132"/>
      <c r="GG572" s="132"/>
      <c r="GH572" s="132"/>
      <c r="GI572" s="132"/>
      <c r="GJ572" s="132"/>
      <c r="GK572" s="132"/>
      <c r="GL572" s="133"/>
      <c r="GM572" s="22"/>
      <c r="GN572" s="134"/>
      <c r="GO572" s="129"/>
      <c r="GP572" s="130"/>
      <c r="GQ572" s="131"/>
      <c r="GR572" s="132"/>
      <c r="GS572" s="132"/>
      <c r="GT572" s="132"/>
      <c r="GU572" s="132"/>
      <c r="GV572" s="132"/>
      <c r="GW572" s="132"/>
      <c r="GX572" s="132"/>
      <c r="GY572" s="133"/>
      <c r="GZ572" s="22"/>
      <c r="HA572" s="134"/>
      <c r="HB572" s="129"/>
      <c r="HC572" s="130"/>
      <c r="HD572" s="131"/>
      <c r="HE572" s="132"/>
      <c r="HF572" s="132"/>
      <c r="HG572" s="132"/>
      <c r="HH572" s="132"/>
      <c r="HI572" s="132"/>
      <c r="HJ572" s="132"/>
      <c r="HK572" s="132"/>
      <c r="HL572" s="133"/>
      <c r="HM572" s="22"/>
      <c r="HN572" s="134"/>
      <c r="HO572" s="129"/>
      <c r="HP572" s="130"/>
      <c r="HQ572" s="131"/>
      <c r="HR572" s="132"/>
      <c r="HS572" s="132"/>
      <c r="HT572" s="132"/>
      <c r="HU572" s="132"/>
      <c r="HV572" s="132"/>
      <c r="HW572" s="132"/>
      <c r="HX572" s="132"/>
      <c r="HY572" s="133"/>
      <c r="HZ572" s="22"/>
      <c r="IA572" s="134"/>
      <c r="IB572" s="129"/>
      <c r="IC572" s="130"/>
      <c r="ID572" s="131"/>
      <c r="IE572" s="132"/>
      <c r="IF572" s="132"/>
      <c r="IG572" s="132"/>
      <c r="IH572" s="132"/>
      <c r="II572" s="132"/>
      <c r="IJ572" s="132"/>
      <c r="IK572" s="132"/>
      <c r="IL572" s="133"/>
      <c r="IM572" s="22"/>
      <c r="IN572" s="134"/>
      <c r="IO572" s="129"/>
      <c r="IP572" s="130"/>
      <c r="IQ572" s="131"/>
      <c r="IR572" s="132"/>
      <c r="IS572" s="132"/>
      <c r="IT572" s="132"/>
      <c r="IU572" s="132"/>
    </row>
    <row r="573" spans="1:255" s="46" customFormat="1" ht="135" customHeight="1">
      <c r="A573" s="1106"/>
      <c r="B573" s="1107"/>
      <c r="C573" s="1235">
        <v>4</v>
      </c>
      <c r="D573" s="1095"/>
      <c r="E573" s="1096" t="s">
        <v>508</v>
      </c>
      <c r="F573" s="1097"/>
      <c r="G573" s="1098"/>
      <c r="H573" s="1097"/>
      <c r="I573" s="1097"/>
      <c r="J573" s="1097"/>
      <c r="K573" s="1097"/>
      <c r="L573" s="1099">
        <v>4500</v>
      </c>
      <c r="M573" s="1099">
        <v>4500</v>
      </c>
      <c r="N573" s="128" t="s">
        <v>526</v>
      </c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  <c r="AA573" s="128"/>
      <c r="AB573" s="128"/>
      <c r="AC573" s="128"/>
      <c r="AD573" s="128"/>
      <c r="AE573" s="128"/>
      <c r="AF573" s="128"/>
      <c r="AG573" s="128"/>
      <c r="AH573" s="128"/>
      <c r="AI573" s="128"/>
      <c r="AJ573" s="128"/>
      <c r="AK573" s="128"/>
      <c r="AL573" s="128"/>
      <c r="AM573" s="128"/>
      <c r="AN573" s="128"/>
      <c r="AO573" s="128"/>
      <c r="AP573" s="128"/>
      <c r="AQ573" s="128"/>
      <c r="AR573" s="128"/>
      <c r="AS573" s="128"/>
      <c r="AT573" s="128"/>
      <c r="AU573" s="128"/>
      <c r="AV573" s="128"/>
      <c r="AW573" s="128"/>
      <c r="AX573" s="128"/>
      <c r="AY573" s="128"/>
      <c r="AZ573" s="128"/>
      <c r="BA573" s="128"/>
      <c r="BB573" s="128"/>
      <c r="BC573" s="128"/>
      <c r="BD573" s="128"/>
      <c r="BE573" s="128"/>
      <c r="BF573" s="128"/>
      <c r="BG573" s="128"/>
      <c r="BH573" s="128"/>
      <c r="BI573" s="128"/>
      <c r="BJ573" s="128"/>
      <c r="BK573" s="128"/>
      <c r="BL573" s="128"/>
      <c r="BM573" s="128"/>
      <c r="BN573" s="128"/>
      <c r="BO573" s="128"/>
      <c r="BP573" s="128"/>
      <c r="BQ573" s="128"/>
      <c r="BR573" s="128"/>
      <c r="BS573" s="128"/>
      <c r="BT573" s="128"/>
      <c r="BU573" s="128"/>
      <c r="BV573" s="128"/>
      <c r="BW573" s="128"/>
      <c r="BX573" s="128"/>
      <c r="BY573" s="128"/>
      <c r="BZ573" s="128"/>
      <c r="CA573" s="128"/>
      <c r="CB573" s="128"/>
      <c r="CC573" s="128"/>
      <c r="CD573" s="128"/>
      <c r="CE573" s="128"/>
      <c r="CF573" s="128"/>
      <c r="CG573" s="128"/>
      <c r="CH573" s="128"/>
      <c r="CI573" s="128"/>
      <c r="CJ573" s="128"/>
      <c r="CK573" s="128"/>
      <c r="CL573" s="128"/>
      <c r="CM573" s="128"/>
      <c r="CN573" s="128"/>
      <c r="CO573" s="128"/>
      <c r="CP573" s="128"/>
      <c r="CQ573" s="128"/>
      <c r="CR573" s="128"/>
      <c r="CS573" s="128"/>
      <c r="CT573" s="128"/>
      <c r="CU573" s="128"/>
      <c r="CV573" s="128"/>
      <c r="CW573" s="128"/>
      <c r="CX573" s="128"/>
      <c r="CY573" s="128"/>
      <c r="CZ573" s="128"/>
      <c r="DA573" s="128"/>
      <c r="DB573" s="128"/>
      <c r="DC573" s="128"/>
      <c r="DD573" s="128"/>
      <c r="DE573" s="128"/>
      <c r="DF573" s="128"/>
      <c r="DG573" s="128"/>
      <c r="DH573" s="128"/>
      <c r="DI573" s="128"/>
      <c r="DJ573" s="128"/>
      <c r="DK573" s="128"/>
      <c r="DL573" s="128"/>
      <c r="DM573" s="128"/>
      <c r="DN573" s="128"/>
      <c r="DO573" s="128"/>
      <c r="DP573" s="128"/>
      <c r="DQ573" s="128"/>
      <c r="DR573" s="128"/>
      <c r="DS573" s="128"/>
      <c r="DT573" s="128"/>
      <c r="DU573" s="128"/>
      <c r="DV573" s="128"/>
      <c r="DW573" s="128"/>
      <c r="DX573" s="128"/>
      <c r="DY573" s="128"/>
      <c r="DZ573" s="128"/>
      <c r="EA573" s="128"/>
      <c r="EB573" s="128"/>
      <c r="EC573" s="128"/>
      <c r="ED573" s="128"/>
      <c r="EE573" s="128"/>
      <c r="EF573" s="128"/>
      <c r="EG573" s="128"/>
      <c r="EH573" s="128"/>
      <c r="EI573" s="128"/>
      <c r="EJ573" s="128"/>
      <c r="EK573" s="128"/>
      <c r="EL573" s="128"/>
      <c r="EM573" s="128"/>
      <c r="EN573" s="128"/>
      <c r="EO573" s="129"/>
      <c r="EP573" s="130"/>
      <c r="EQ573" s="131"/>
      <c r="ER573" s="132"/>
      <c r="ES573" s="132"/>
      <c r="ET573" s="132"/>
      <c r="EU573" s="132"/>
      <c r="EV573" s="132"/>
      <c r="EW573" s="132"/>
      <c r="EX573" s="132"/>
      <c r="EY573" s="133"/>
      <c r="EZ573" s="22"/>
      <c r="FA573" s="134"/>
      <c r="FB573" s="129"/>
      <c r="FC573" s="130"/>
      <c r="FD573" s="131"/>
      <c r="FE573" s="132"/>
      <c r="FF573" s="132"/>
      <c r="FG573" s="132"/>
      <c r="FH573" s="132"/>
      <c r="FI573" s="132"/>
      <c r="FJ573" s="132"/>
      <c r="FK573" s="132"/>
      <c r="FL573" s="133"/>
      <c r="FM573" s="22"/>
      <c r="FN573" s="134"/>
      <c r="FO573" s="129"/>
      <c r="FP573" s="130"/>
      <c r="FQ573" s="131"/>
      <c r="FR573" s="132"/>
      <c r="FS573" s="132"/>
      <c r="FT573" s="132"/>
      <c r="FU573" s="132"/>
      <c r="FV573" s="132"/>
      <c r="FW573" s="132"/>
      <c r="FX573" s="132"/>
      <c r="FY573" s="133"/>
      <c r="FZ573" s="22"/>
      <c r="GA573" s="134"/>
      <c r="GB573" s="129"/>
      <c r="GC573" s="130"/>
      <c r="GD573" s="131"/>
      <c r="GE573" s="132"/>
      <c r="GF573" s="132"/>
      <c r="GG573" s="132"/>
      <c r="GH573" s="132"/>
      <c r="GI573" s="132"/>
      <c r="GJ573" s="132"/>
      <c r="GK573" s="132"/>
      <c r="GL573" s="133"/>
      <c r="GM573" s="22"/>
      <c r="GN573" s="134"/>
      <c r="GO573" s="129"/>
      <c r="GP573" s="130"/>
      <c r="GQ573" s="131"/>
      <c r="GR573" s="132"/>
      <c r="GS573" s="132"/>
      <c r="GT573" s="132"/>
      <c r="GU573" s="132"/>
      <c r="GV573" s="132"/>
      <c r="GW573" s="132"/>
      <c r="GX573" s="132"/>
      <c r="GY573" s="133"/>
      <c r="GZ573" s="22"/>
      <c r="HA573" s="134"/>
      <c r="HB573" s="129"/>
      <c r="HC573" s="130"/>
      <c r="HD573" s="131"/>
      <c r="HE573" s="132"/>
      <c r="HF573" s="132"/>
      <c r="HG573" s="132"/>
      <c r="HH573" s="132"/>
      <c r="HI573" s="132"/>
      <c r="HJ573" s="132"/>
      <c r="HK573" s="132"/>
      <c r="HL573" s="133"/>
      <c r="HM573" s="22"/>
      <c r="HN573" s="134"/>
      <c r="HO573" s="129"/>
      <c r="HP573" s="130"/>
      <c r="HQ573" s="131"/>
      <c r="HR573" s="132"/>
      <c r="HS573" s="132"/>
      <c r="HT573" s="132"/>
      <c r="HU573" s="132"/>
      <c r="HV573" s="132"/>
      <c r="HW573" s="132"/>
      <c r="HX573" s="132"/>
      <c r="HY573" s="133"/>
      <c r="HZ573" s="22"/>
      <c r="IA573" s="134"/>
      <c r="IB573" s="129"/>
      <c r="IC573" s="130"/>
      <c r="ID573" s="131"/>
      <c r="IE573" s="132"/>
      <c r="IF573" s="132"/>
      <c r="IG573" s="132"/>
      <c r="IH573" s="132"/>
      <c r="II573" s="132"/>
      <c r="IJ573" s="132"/>
      <c r="IK573" s="132"/>
      <c r="IL573" s="133"/>
      <c r="IM573" s="22"/>
      <c r="IN573" s="134"/>
      <c r="IO573" s="129"/>
      <c r="IP573" s="130"/>
      <c r="IQ573" s="131"/>
      <c r="IR573" s="132"/>
      <c r="IS573" s="132"/>
      <c r="IT573" s="132"/>
      <c r="IU573" s="132"/>
    </row>
    <row r="574" spans="1:13" s="46" customFormat="1" ht="45" customHeight="1">
      <c r="A574" s="1108"/>
      <c r="B574" s="174">
        <v>92695</v>
      </c>
      <c r="C574" s="1151"/>
      <c r="D574" s="175"/>
      <c r="E574" s="176" t="s">
        <v>24</v>
      </c>
      <c r="F574" s="837">
        <f aca="true" t="shared" si="91" ref="F574:M574">SUM(F575:F576)</f>
        <v>0</v>
      </c>
      <c r="G574" s="838">
        <f t="shared" si="91"/>
        <v>0</v>
      </c>
      <c r="H574" s="1033">
        <f t="shared" si="91"/>
        <v>1550000</v>
      </c>
      <c r="I574" s="1033">
        <f t="shared" si="91"/>
        <v>0</v>
      </c>
      <c r="J574" s="1033">
        <f t="shared" si="91"/>
        <v>0</v>
      </c>
      <c r="K574" s="1033">
        <f t="shared" si="91"/>
        <v>0</v>
      </c>
      <c r="L574" s="1033">
        <f t="shared" si="91"/>
        <v>850021</v>
      </c>
      <c r="M574" s="1034">
        <f t="shared" si="91"/>
        <v>2400021</v>
      </c>
    </row>
    <row r="575" spans="1:14" s="46" customFormat="1" ht="66" customHeight="1">
      <c r="A575" s="158"/>
      <c r="B575" s="166"/>
      <c r="C575" s="1188">
        <v>1</v>
      </c>
      <c r="D575" s="757"/>
      <c r="E575" s="567" t="s">
        <v>516</v>
      </c>
      <c r="F575" s="320"/>
      <c r="G575" s="203"/>
      <c r="H575" s="202">
        <v>1350000</v>
      </c>
      <c r="I575" s="202"/>
      <c r="J575" s="202"/>
      <c r="K575" s="200"/>
      <c r="L575" s="203">
        <v>450000</v>
      </c>
      <c r="M575" s="200">
        <f>SUM(F575:L575)</f>
        <v>1800000</v>
      </c>
      <c r="N575" s="46" t="s">
        <v>526</v>
      </c>
    </row>
    <row r="576" spans="1:14" s="46" customFormat="1" ht="60" customHeight="1" thickBot="1">
      <c r="A576" s="158"/>
      <c r="B576" s="166"/>
      <c r="C576" s="1188">
        <v>2</v>
      </c>
      <c r="D576" s="1109"/>
      <c r="E576" s="191" t="s">
        <v>1014</v>
      </c>
      <c r="F576" s="197"/>
      <c r="G576" s="198"/>
      <c r="H576" s="202">
        <v>200000</v>
      </c>
      <c r="I576" s="202"/>
      <c r="J576" s="202"/>
      <c r="K576" s="200"/>
      <c r="L576" s="203">
        <v>400021</v>
      </c>
      <c r="M576" s="200">
        <f>SUM(F576:L576)</f>
        <v>600021</v>
      </c>
      <c r="N576" s="46" t="s">
        <v>526</v>
      </c>
    </row>
    <row r="577" spans="1:14" s="95" customFormat="1" ht="42.75" customHeight="1" thickBot="1">
      <c r="A577" s="885"/>
      <c r="B577" s="1110"/>
      <c r="C577" s="1236"/>
      <c r="D577" s="1111"/>
      <c r="E577" s="1112" t="s">
        <v>124</v>
      </c>
      <c r="F577" s="1113">
        <f aca="true" t="shared" si="92" ref="F577:M577">F568+F522+F491+F456+F437+F284+F268+F217+F213+F95+F78+F40+F8+F3+F280+F477+F275</f>
        <v>7397052</v>
      </c>
      <c r="G577" s="1113">
        <f t="shared" si="92"/>
        <v>670270</v>
      </c>
      <c r="H577" s="1113">
        <f t="shared" si="92"/>
        <v>9584751</v>
      </c>
      <c r="I577" s="1113">
        <f t="shared" si="92"/>
        <v>0</v>
      </c>
      <c r="J577" s="1113">
        <f t="shared" si="92"/>
        <v>34000</v>
      </c>
      <c r="K577" s="1113">
        <f t="shared" si="92"/>
        <v>0</v>
      </c>
      <c r="L577" s="1113">
        <f t="shared" si="92"/>
        <v>51756248</v>
      </c>
      <c r="M577" s="1113">
        <f t="shared" si="92"/>
        <v>69442321</v>
      </c>
      <c r="N577" s="95" t="s">
        <v>526</v>
      </c>
    </row>
    <row r="578" spans="1:14" s="95" customFormat="1" ht="45.75" customHeight="1">
      <c r="A578" s="1114"/>
      <c r="B578" s="1115"/>
      <c r="C578" s="1237"/>
      <c r="D578" s="1116"/>
      <c r="E578" s="1117" t="s">
        <v>125</v>
      </c>
      <c r="F578" s="1118">
        <f>F579+F584+F587+F590+F594+F595</f>
        <v>0</v>
      </c>
      <c r="G578" s="1118">
        <f aca="true" t="shared" si="93" ref="G578:M578">G579+G584+G587+G590+G594+G595</f>
        <v>0</v>
      </c>
      <c r="H578" s="1118">
        <f t="shared" si="93"/>
        <v>0</v>
      </c>
      <c r="I578" s="1118">
        <f t="shared" si="93"/>
        <v>0</v>
      </c>
      <c r="J578" s="1118">
        <f t="shared" si="93"/>
        <v>0</v>
      </c>
      <c r="K578" s="1118">
        <f t="shared" si="93"/>
        <v>0</v>
      </c>
      <c r="L578" s="1118">
        <f t="shared" si="93"/>
        <v>3773000</v>
      </c>
      <c r="M578" s="1119">
        <f t="shared" si="93"/>
        <v>3773000</v>
      </c>
      <c r="N578" s="95" t="s">
        <v>526</v>
      </c>
    </row>
    <row r="579" spans="1:14" s="95" customFormat="1" ht="85.5" customHeight="1">
      <c r="A579" s="916"/>
      <c r="B579" s="1120"/>
      <c r="C579" s="1238" t="s">
        <v>682</v>
      </c>
      <c r="D579" s="1121"/>
      <c r="E579" s="1122" t="s">
        <v>126</v>
      </c>
      <c r="F579" s="1123"/>
      <c r="G579" s="1122"/>
      <c r="H579" s="1123"/>
      <c r="I579" s="1123"/>
      <c r="J579" s="1123"/>
      <c r="K579" s="1124"/>
      <c r="L579" s="1125">
        <f>67000*4</f>
        <v>268000</v>
      </c>
      <c r="M579" s="1126">
        <f>L579</f>
        <v>268000</v>
      </c>
      <c r="N579" s="95" t="s">
        <v>526</v>
      </c>
    </row>
    <row r="580" spans="1:13" s="96" customFormat="1" ht="28.5" customHeight="1">
      <c r="A580" s="916"/>
      <c r="B580" s="1120"/>
      <c r="C580" s="1239"/>
      <c r="D580" s="1127"/>
      <c r="E580" s="1128" t="s">
        <v>579</v>
      </c>
      <c r="F580" s="1129"/>
      <c r="G580" s="1128"/>
      <c r="H580" s="1129"/>
      <c r="I580" s="1129"/>
      <c r="J580" s="1129"/>
      <c r="K580" s="1130"/>
      <c r="L580" s="1131"/>
      <c r="M580" s="1132"/>
    </row>
    <row r="581" spans="1:13" s="96" customFormat="1" ht="30" customHeight="1">
      <c r="A581" s="916"/>
      <c r="B581" s="1120"/>
      <c r="C581" s="1239"/>
      <c r="D581" s="1127"/>
      <c r="E581" s="1128" t="s">
        <v>580</v>
      </c>
      <c r="F581" s="1129"/>
      <c r="G581" s="1128"/>
      <c r="H581" s="1129"/>
      <c r="I581" s="1129"/>
      <c r="J581" s="1129"/>
      <c r="K581" s="1130"/>
      <c r="L581" s="1131"/>
      <c r="M581" s="1132"/>
    </row>
    <row r="582" spans="1:13" s="96" customFormat="1" ht="32.25" customHeight="1">
      <c r="A582" s="916"/>
      <c r="B582" s="1120"/>
      <c r="C582" s="1239"/>
      <c r="D582" s="1127"/>
      <c r="E582" s="1128" t="s">
        <v>581</v>
      </c>
      <c r="F582" s="1129"/>
      <c r="G582" s="1128"/>
      <c r="H582" s="1129"/>
      <c r="I582" s="1129"/>
      <c r="J582" s="1129"/>
      <c r="K582" s="1130"/>
      <c r="L582" s="1131"/>
      <c r="M582" s="1132"/>
    </row>
    <row r="583" spans="1:13" s="96" customFormat="1" ht="30" customHeight="1">
      <c r="A583" s="916"/>
      <c r="B583" s="1120"/>
      <c r="C583" s="1239"/>
      <c r="D583" s="1127"/>
      <c r="E583" s="1128" t="s">
        <v>582</v>
      </c>
      <c r="F583" s="1129"/>
      <c r="G583" s="1128"/>
      <c r="H583" s="1129"/>
      <c r="I583" s="1129"/>
      <c r="J583" s="1129"/>
      <c r="K583" s="1130"/>
      <c r="L583" s="1131"/>
      <c r="M583" s="1132"/>
    </row>
    <row r="584" spans="1:14" s="96" customFormat="1" ht="75.75" customHeight="1">
      <c r="A584" s="916"/>
      <c r="B584" s="1120"/>
      <c r="C584" s="1240" t="s">
        <v>700</v>
      </c>
      <c r="D584" s="1133"/>
      <c r="E584" s="1122" t="s">
        <v>127</v>
      </c>
      <c r="F584" s="1134"/>
      <c r="G584" s="1135"/>
      <c r="H584" s="1134"/>
      <c r="I584" s="1134"/>
      <c r="J584" s="1134"/>
      <c r="K584" s="1136"/>
      <c r="L584" s="1137">
        <v>100000</v>
      </c>
      <c r="M584" s="1138">
        <f>L584</f>
        <v>100000</v>
      </c>
      <c r="N584" s="96" t="s">
        <v>526</v>
      </c>
    </row>
    <row r="585" spans="1:13" s="96" customFormat="1" ht="30" customHeight="1">
      <c r="A585" s="916"/>
      <c r="B585" s="1120"/>
      <c r="C585" s="1241"/>
      <c r="D585" s="1127"/>
      <c r="E585" s="1128" t="s">
        <v>583</v>
      </c>
      <c r="F585" s="1129"/>
      <c r="G585" s="1128"/>
      <c r="H585" s="1129"/>
      <c r="I585" s="1129"/>
      <c r="J585" s="1129"/>
      <c r="K585" s="1139"/>
      <c r="L585" s="1131"/>
      <c r="M585" s="1132"/>
    </row>
    <row r="586" spans="1:13" s="96" customFormat="1" ht="30.75" customHeight="1">
      <c r="A586" s="916"/>
      <c r="B586" s="1120"/>
      <c r="C586" s="1239"/>
      <c r="D586" s="1127"/>
      <c r="E586" s="1128" t="s">
        <v>584</v>
      </c>
      <c r="F586" s="1129"/>
      <c r="G586" s="1128"/>
      <c r="H586" s="1129"/>
      <c r="I586" s="1129"/>
      <c r="J586" s="1129" t="s">
        <v>128</v>
      </c>
      <c r="K586" s="1139"/>
      <c r="L586" s="1131"/>
      <c r="M586" s="1132"/>
    </row>
    <row r="587" spans="1:14" s="96" customFormat="1" ht="74.25" customHeight="1">
      <c r="A587" s="916"/>
      <c r="B587" s="1120"/>
      <c r="C587" s="1240" t="s">
        <v>701</v>
      </c>
      <c r="D587" s="1133"/>
      <c r="E587" s="1140" t="s">
        <v>129</v>
      </c>
      <c r="F587" s="1134"/>
      <c r="G587" s="1140"/>
      <c r="H587" s="1134"/>
      <c r="I587" s="1134"/>
      <c r="J587" s="1134"/>
      <c r="K587" s="1136"/>
      <c r="L587" s="1137">
        <f>400000+355000</f>
        <v>755000</v>
      </c>
      <c r="M587" s="1138">
        <f>L587</f>
        <v>755000</v>
      </c>
      <c r="N587" s="96" t="s">
        <v>526</v>
      </c>
    </row>
    <row r="588" spans="1:13" s="96" customFormat="1" ht="33" customHeight="1">
      <c r="A588" s="916"/>
      <c r="B588" s="1120"/>
      <c r="C588" s="1239"/>
      <c r="D588" s="1127"/>
      <c r="E588" s="1128" t="s">
        <v>585</v>
      </c>
      <c r="F588" s="1129"/>
      <c r="G588" s="1128"/>
      <c r="H588" s="1129"/>
      <c r="I588" s="1129"/>
      <c r="J588" s="1129"/>
      <c r="K588" s="1139"/>
      <c r="L588" s="1131"/>
      <c r="M588" s="1132"/>
    </row>
    <row r="589" spans="1:13" s="96" customFormat="1" ht="32.25" customHeight="1">
      <c r="A589" s="916"/>
      <c r="B589" s="1120"/>
      <c r="C589" s="1239"/>
      <c r="D589" s="1127"/>
      <c r="E589" s="1128" t="s">
        <v>586</v>
      </c>
      <c r="F589" s="1129"/>
      <c r="G589" s="1128"/>
      <c r="H589" s="1129"/>
      <c r="I589" s="1129"/>
      <c r="J589" s="1129"/>
      <c r="K589" s="1139"/>
      <c r="L589" s="1131"/>
      <c r="M589" s="1132"/>
    </row>
    <row r="590" spans="1:14" s="96" customFormat="1" ht="56.25" customHeight="1">
      <c r="A590" s="916"/>
      <c r="B590" s="1120"/>
      <c r="C590" s="1240" t="s">
        <v>702</v>
      </c>
      <c r="D590" s="1133"/>
      <c r="E590" s="1140" t="s">
        <v>130</v>
      </c>
      <c r="F590" s="1134"/>
      <c r="G590" s="1140"/>
      <c r="H590" s="1134"/>
      <c r="I590" s="1134"/>
      <c r="J590" s="1134"/>
      <c r="K590" s="1136"/>
      <c r="L590" s="1137">
        <f>100000+100000+50000</f>
        <v>250000</v>
      </c>
      <c r="M590" s="1138">
        <f>100000+100000+50000</f>
        <v>250000</v>
      </c>
      <c r="N590" s="96" t="s">
        <v>526</v>
      </c>
    </row>
    <row r="591" spans="1:13" s="96" customFormat="1" ht="30" customHeight="1">
      <c r="A591" s="916"/>
      <c r="B591" s="1120"/>
      <c r="C591" s="1239"/>
      <c r="D591" s="1127"/>
      <c r="E591" s="1128" t="s">
        <v>587</v>
      </c>
      <c r="F591" s="1129"/>
      <c r="G591" s="1128"/>
      <c r="H591" s="1129"/>
      <c r="I591" s="1129"/>
      <c r="J591" s="1129"/>
      <c r="K591" s="1139"/>
      <c r="L591" s="1131"/>
      <c r="M591" s="1132"/>
    </row>
    <row r="592" spans="1:13" s="96" customFormat="1" ht="27.75" customHeight="1">
      <c r="A592" s="916"/>
      <c r="B592" s="1120"/>
      <c r="C592" s="1239"/>
      <c r="D592" s="1127"/>
      <c r="E592" s="1128" t="s">
        <v>588</v>
      </c>
      <c r="F592" s="1129"/>
      <c r="G592" s="1128"/>
      <c r="H592" s="1129"/>
      <c r="I592" s="1129"/>
      <c r="J592" s="1129"/>
      <c r="K592" s="1139"/>
      <c r="L592" s="1131"/>
      <c r="M592" s="1132"/>
    </row>
    <row r="593" spans="1:13" s="96" customFormat="1" ht="30" customHeight="1">
      <c r="A593" s="916"/>
      <c r="B593" s="1120"/>
      <c r="C593" s="1239"/>
      <c r="D593" s="1127"/>
      <c r="E593" s="1128" t="s">
        <v>589</v>
      </c>
      <c r="F593" s="1129"/>
      <c r="G593" s="1128"/>
      <c r="H593" s="1129"/>
      <c r="I593" s="1129"/>
      <c r="J593" s="1129"/>
      <c r="K593" s="1139"/>
      <c r="L593" s="1131"/>
      <c r="M593" s="1132"/>
    </row>
    <row r="594" spans="1:14" s="96" customFormat="1" ht="79.5" customHeight="1">
      <c r="A594" s="916"/>
      <c r="B594" s="1120"/>
      <c r="C594" s="1240" t="s">
        <v>703</v>
      </c>
      <c r="D594" s="1133"/>
      <c r="E594" s="1140" t="s">
        <v>517</v>
      </c>
      <c r="F594" s="1134"/>
      <c r="G594" s="1140"/>
      <c r="H594" s="1134"/>
      <c r="I594" s="1134"/>
      <c r="J594" s="1134"/>
      <c r="K594" s="1136"/>
      <c r="L594" s="1137">
        <v>1000000</v>
      </c>
      <c r="M594" s="1138">
        <f>L594</f>
        <v>1000000</v>
      </c>
      <c r="N594" s="96" t="s">
        <v>526</v>
      </c>
    </row>
    <row r="595" spans="1:14" s="96" customFormat="1" ht="60.75" customHeight="1">
      <c r="A595" s="916"/>
      <c r="B595" s="1120"/>
      <c r="C595" s="1240" t="s">
        <v>704</v>
      </c>
      <c r="D595" s="1133"/>
      <c r="E595" s="1140" t="s">
        <v>594</v>
      </c>
      <c r="F595" s="1134"/>
      <c r="G595" s="1140"/>
      <c r="H595" s="1134"/>
      <c r="I595" s="1134"/>
      <c r="J595" s="1134"/>
      <c r="K595" s="1136"/>
      <c r="L595" s="1137">
        <v>1400000</v>
      </c>
      <c r="M595" s="1138">
        <f>L595</f>
        <v>1400000</v>
      </c>
      <c r="N595" s="96" t="s">
        <v>526</v>
      </c>
    </row>
    <row r="596" spans="1:13" s="96" customFormat="1" ht="30" customHeight="1">
      <c r="A596" s="916"/>
      <c r="B596" s="1120"/>
      <c r="C596" s="1241"/>
      <c r="D596" s="1127"/>
      <c r="E596" s="1128" t="s">
        <v>590</v>
      </c>
      <c r="F596" s="1129"/>
      <c r="G596" s="1128"/>
      <c r="H596" s="1129"/>
      <c r="I596" s="1129"/>
      <c r="J596" s="1129"/>
      <c r="K596" s="1139"/>
      <c r="L596" s="1131"/>
      <c r="M596" s="1132"/>
    </row>
    <row r="597" spans="1:13" s="96" customFormat="1" ht="30.75" customHeight="1">
      <c r="A597" s="916"/>
      <c r="B597" s="1120"/>
      <c r="C597" s="1239"/>
      <c r="D597" s="1127"/>
      <c r="E597" s="1128" t="s">
        <v>591</v>
      </c>
      <c r="F597" s="1129"/>
      <c r="G597" s="1128"/>
      <c r="H597" s="1129"/>
      <c r="I597" s="1129"/>
      <c r="J597" s="1129" t="s">
        <v>128</v>
      </c>
      <c r="K597" s="1139"/>
      <c r="L597" s="1131"/>
      <c r="M597" s="1132"/>
    </row>
    <row r="598" spans="1:13" s="96" customFormat="1" ht="32.25" customHeight="1">
      <c r="A598" s="916"/>
      <c r="B598" s="1120"/>
      <c r="C598" s="1239"/>
      <c r="D598" s="1127"/>
      <c r="E598" s="1128" t="s">
        <v>592</v>
      </c>
      <c r="F598" s="1129"/>
      <c r="G598" s="1128"/>
      <c r="H598" s="1129"/>
      <c r="I598" s="1129"/>
      <c r="J598" s="1129"/>
      <c r="K598" s="1139"/>
      <c r="L598" s="1131"/>
      <c r="M598" s="1132"/>
    </row>
    <row r="599" spans="1:13" s="96" customFormat="1" ht="31.5" customHeight="1" thickBot="1">
      <c r="A599" s="916"/>
      <c r="B599" s="1120"/>
      <c r="C599" s="1239"/>
      <c r="D599" s="1127"/>
      <c r="E599" s="1128" t="s">
        <v>593</v>
      </c>
      <c r="F599" s="1129"/>
      <c r="G599" s="1128"/>
      <c r="H599" s="1129"/>
      <c r="I599" s="1129"/>
      <c r="J599" s="1129"/>
      <c r="K599" s="1139"/>
      <c r="L599" s="1131"/>
      <c r="M599" s="1132"/>
    </row>
    <row r="600" spans="1:13" s="97" customFormat="1" ht="44.25" customHeight="1">
      <c r="A600" s="1141"/>
      <c r="B600" s="1110"/>
      <c r="C600" s="1242"/>
      <c r="D600" s="1142"/>
      <c r="E600" s="1143" t="s">
        <v>124</v>
      </c>
      <c r="F600" s="1144">
        <f>F577+F578</f>
        <v>7397052</v>
      </c>
      <c r="G600" s="1144">
        <f aca="true" t="shared" si="94" ref="G600:M600">G577+G578</f>
        <v>670270</v>
      </c>
      <c r="H600" s="1144">
        <f t="shared" si="94"/>
        <v>9584751</v>
      </c>
      <c r="I600" s="1144">
        <f t="shared" si="94"/>
        <v>0</v>
      </c>
      <c r="J600" s="1144">
        <f t="shared" si="94"/>
        <v>34000</v>
      </c>
      <c r="K600" s="1144">
        <f t="shared" si="94"/>
        <v>0</v>
      </c>
      <c r="L600" s="1144">
        <f t="shared" si="94"/>
        <v>55529248</v>
      </c>
      <c r="M600" s="1145">
        <f t="shared" si="94"/>
        <v>73215321</v>
      </c>
    </row>
    <row r="601" spans="1:13" s="148" customFormat="1" ht="23.25" customHeight="1">
      <c r="A601" s="146"/>
      <c r="B601" s="147"/>
      <c r="C601" s="1217"/>
      <c r="D601" s="81"/>
      <c r="E601" s="79"/>
      <c r="F601" s="32"/>
      <c r="G601" s="32"/>
      <c r="H601" s="32"/>
      <c r="I601" s="32"/>
      <c r="J601" s="32"/>
      <c r="K601" s="32"/>
      <c r="L601" s="32"/>
      <c r="M601" s="32"/>
    </row>
    <row r="602" spans="1:13" s="150" customFormat="1" ht="23.25" customHeight="1">
      <c r="A602" s="100"/>
      <c r="B602" s="106"/>
      <c r="C602" s="1243"/>
      <c r="D602" s="100"/>
      <c r="E602" s="101"/>
      <c r="F602" s="34"/>
      <c r="G602" s="34"/>
      <c r="H602" s="34"/>
      <c r="I602" s="34"/>
      <c r="J602" s="34"/>
      <c r="K602" s="34"/>
      <c r="L602" s="34"/>
      <c r="M602" s="149"/>
    </row>
    <row r="603" spans="1:13" s="150" customFormat="1" ht="18.75">
      <c r="A603" s="100"/>
      <c r="B603" s="106"/>
      <c r="C603" s="1243"/>
      <c r="D603" s="100"/>
      <c r="E603" s="101"/>
      <c r="F603" s="34"/>
      <c r="G603" s="34"/>
      <c r="H603" s="34"/>
      <c r="I603" s="34"/>
      <c r="J603" s="34"/>
      <c r="K603" s="34"/>
      <c r="L603" s="34"/>
      <c r="M603" s="149"/>
    </row>
    <row r="604" spans="1:13" s="98" customFormat="1" ht="18.75">
      <c r="A604" s="99"/>
      <c r="B604" s="107"/>
      <c r="C604" s="1244"/>
      <c r="D604" s="100"/>
      <c r="E604" s="101"/>
      <c r="F604" s="87"/>
      <c r="G604" s="34"/>
      <c r="H604" s="34"/>
      <c r="I604" s="34"/>
      <c r="J604" s="34"/>
      <c r="K604" s="34"/>
      <c r="L604" s="34"/>
      <c r="M604" s="73"/>
    </row>
    <row r="605" spans="1:13" s="98" customFormat="1" ht="18.75">
      <c r="A605" s="99"/>
      <c r="B605" s="107"/>
      <c r="C605" s="1244"/>
      <c r="D605" s="100"/>
      <c r="E605" s="101"/>
      <c r="F605" s="87"/>
      <c r="G605" s="34"/>
      <c r="H605" s="34"/>
      <c r="I605" s="34"/>
      <c r="J605" s="34"/>
      <c r="K605" s="34"/>
      <c r="L605" s="34"/>
      <c r="M605" s="73"/>
    </row>
    <row r="606" spans="1:13" s="98" customFormat="1" ht="18.75">
      <c r="A606" s="99"/>
      <c r="B606" s="107"/>
      <c r="C606" s="1244"/>
      <c r="D606" s="100"/>
      <c r="E606" s="101"/>
      <c r="F606" s="87"/>
      <c r="G606" s="34"/>
      <c r="H606" s="34"/>
      <c r="I606" s="34"/>
      <c r="J606" s="34"/>
      <c r="K606" s="34"/>
      <c r="L606" s="34"/>
      <c r="M606" s="73"/>
    </row>
    <row r="607" spans="1:13" s="98" customFormat="1" ht="18.75">
      <c r="A607" s="99"/>
      <c r="B607" s="107"/>
      <c r="C607" s="1244"/>
      <c r="D607" s="100"/>
      <c r="E607" s="101"/>
      <c r="F607" s="87"/>
      <c r="G607" s="34"/>
      <c r="H607" s="34"/>
      <c r="I607" s="34"/>
      <c r="J607" s="34"/>
      <c r="K607" s="34"/>
      <c r="L607" s="34"/>
      <c r="M607" s="73"/>
    </row>
    <row r="608" spans="1:13" s="18" customFormat="1" ht="18.75">
      <c r="A608" s="23"/>
      <c r="B608" s="107"/>
      <c r="C608" s="1157"/>
      <c r="D608" s="25"/>
      <c r="E608" s="82"/>
      <c r="F608" s="87"/>
      <c r="G608" s="34"/>
      <c r="H608" s="34"/>
      <c r="I608" s="34"/>
      <c r="J608" s="34"/>
      <c r="K608" s="34"/>
      <c r="L608" s="34"/>
      <c r="M608" s="73"/>
    </row>
    <row r="609" spans="1:13" s="18" customFormat="1" ht="18.75">
      <c r="A609" s="23"/>
      <c r="B609" s="107"/>
      <c r="C609" s="1157"/>
      <c r="D609" s="25"/>
      <c r="E609" s="82"/>
      <c r="F609" s="87"/>
      <c r="G609" s="34"/>
      <c r="H609" s="34"/>
      <c r="I609" s="34"/>
      <c r="J609" s="34"/>
      <c r="K609" s="34"/>
      <c r="L609" s="34"/>
      <c r="M609" s="73"/>
    </row>
    <row r="610" spans="1:13" s="18" customFormat="1" ht="18.75">
      <c r="A610" s="23"/>
      <c r="B610" s="107"/>
      <c r="C610" s="1157"/>
      <c r="D610" s="25"/>
      <c r="E610" s="82"/>
      <c r="F610" s="87"/>
      <c r="G610" s="34"/>
      <c r="H610" s="34"/>
      <c r="I610" s="34"/>
      <c r="J610" s="34"/>
      <c r="K610" s="34"/>
      <c r="L610" s="34"/>
      <c r="M610" s="73"/>
    </row>
    <row r="611" spans="1:13" s="18" customFormat="1" ht="18.75">
      <c r="A611" s="23"/>
      <c r="B611" s="107"/>
      <c r="C611" s="1157"/>
      <c r="D611" s="25"/>
      <c r="E611" s="82"/>
      <c r="F611" s="87"/>
      <c r="G611" s="34"/>
      <c r="H611" s="34"/>
      <c r="I611" s="34"/>
      <c r="J611" s="34"/>
      <c r="K611" s="34"/>
      <c r="L611" s="34"/>
      <c r="M611" s="73"/>
    </row>
    <row r="612" spans="1:13" s="18" customFormat="1" ht="18.75">
      <c r="A612" s="23"/>
      <c r="B612" s="107"/>
      <c r="C612" s="1157"/>
      <c r="D612" s="25"/>
      <c r="E612" s="82"/>
      <c r="F612" s="87"/>
      <c r="G612" s="34"/>
      <c r="H612" s="34"/>
      <c r="I612" s="34"/>
      <c r="J612" s="34"/>
      <c r="K612" s="34"/>
      <c r="L612" s="34"/>
      <c r="M612" s="73"/>
    </row>
    <row r="613" spans="1:13" s="18" customFormat="1" ht="18.75">
      <c r="A613" s="23"/>
      <c r="B613" s="107"/>
      <c r="C613" s="1157"/>
      <c r="D613" s="25"/>
      <c r="E613" s="82"/>
      <c r="F613" s="87"/>
      <c r="G613" s="34"/>
      <c r="H613" s="34"/>
      <c r="I613" s="34"/>
      <c r="J613" s="34"/>
      <c r="K613" s="34"/>
      <c r="L613" s="34"/>
      <c r="M613" s="73"/>
    </row>
    <row r="614" spans="1:13" s="18" customFormat="1" ht="18.75">
      <c r="A614" s="23"/>
      <c r="B614" s="107"/>
      <c r="C614" s="1157"/>
      <c r="D614" s="25"/>
      <c r="E614" s="82"/>
      <c r="F614" s="87"/>
      <c r="G614" s="34"/>
      <c r="H614" s="34"/>
      <c r="I614" s="34"/>
      <c r="J614" s="34"/>
      <c r="K614" s="34"/>
      <c r="L614" s="34"/>
      <c r="M614" s="73"/>
    </row>
    <row r="615" spans="1:13" s="18" customFormat="1" ht="18.75">
      <c r="A615" s="23"/>
      <c r="B615" s="107"/>
      <c r="C615" s="1157"/>
      <c r="D615" s="25"/>
      <c r="E615" s="82"/>
      <c r="F615" s="87"/>
      <c r="G615" s="34"/>
      <c r="H615" s="34"/>
      <c r="I615" s="34"/>
      <c r="J615" s="34"/>
      <c r="K615" s="34"/>
      <c r="L615" s="34"/>
      <c r="M615" s="73"/>
    </row>
    <row r="616" spans="1:13" s="18" customFormat="1" ht="18.75">
      <c r="A616" s="23"/>
      <c r="B616" s="107"/>
      <c r="C616" s="1157"/>
      <c r="D616" s="25"/>
      <c r="E616" s="82"/>
      <c r="F616" s="87"/>
      <c r="G616" s="34"/>
      <c r="H616" s="34"/>
      <c r="I616" s="34"/>
      <c r="J616" s="34"/>
      <c r="K616" s="34"/>
      <c r="L616" s="34"/>
      <c r="M616" s="73"/>
    </row>
    <row r="617" spans="1:13" s="18" customFormat="1" ht="18.75">
      <c r="A617" s="23"/>
      <c r="B617" s="107"/>
      <c r="C617" s="1157"/>
      <c r="D617" s="25"/>
      <c r="E617" s="82"/>
      <c r="F617" s="87"/>
      <c r="G617" s="34"/>
      <c r="H617" s="34"/>
      <c r="I617" s="34"/>
      <c r="J617" s="34"/>
      <c r="K617" s="34"/>
      <c r="L617" s="34"/>
      <c r="M617" s="73"/>
    </row>
    <row r="618" spans="1:13" s="18" customFormat="1" ht="18.75">
      <c r="A618" s="23"/>
      <c r="B618" s="107"/>
      <c r="C618" s="1157"/>
      <c r="D618" s="25"/>
      <c r="E618" s="82"/>
      <c r="F618" s="87"/>
      <c r="G618" s="34"/>
      <c r="H618" s="34"/>
      <c r="I618" s="34"/>
      <c r="J618" s="34"/>
      <c r="K618" s="34"/>
      <c r="L618" s="34"/>
      <c r="M618" s="73"/>
    </row>
    <row r="619" spans="1:13" s="18" customFormat="1" ht="18.75">
      <c r="A619" s="23"/>
      <c r="B619" s="107"/>
      <c r="C619" s="1157"/>
      <c r="D619" s="25"/>
      <c r="E619" s="82"/>
      <c r="F619" s="87"/>
      <c r="G619" s="34"/>
      <c r="H619" s="34"/>
      <c r="I619" s="34"/>
      <c r="J619" s="34"/>
      <c r="K619" s="34"/>
      <c r="L619" s="34"/>
      <c r="M619" s="73"/>
    </row>
    <row r="620" spans="1:13" s="18" customFormat="1" ht="18.75">
      <c r="A620" s="23"/>
      <c r="B620" s="107"/>
      <c r="C620" s="1157"/>
      <c r="D620" s="25"/>
      <c r="E620" s="82"/>
      <c r="F620" s="87"/>
      <c r="G620" s="34"/>
      <c r="H620" s="34"/>
      <c r="I620" s="34"/>
      <c r="J620" s="34"/>
      <c r="K620" s="34"/>
      <c r="L620" s="34"/>
      <c r="M620" s="73"/>
    </row>
    <row r="621" spans="1:13" s="18" customFormat="1" ht="18.75">
      <c r="A621" s="23"/>
      <c r="B621" s="107"/>
      <c r="C621" s="1157"/>
      <c r="D621" s="25"/>
      <c r="E621" s="82"/>
      <c r="F621" s="87"/>
      <c r="G621" s="34"/>
      <c r="H621" s="34"/>
      <c r="I621" s="34"/>
      <c r="J621" s="34"/>
      <c r="K621" s="34"/>
      <c r="L621" s="34"/>
      <c r="M621" s="73"/>
    </row>
    <row r="622" spans="1:13" s="18" customFormat="1" ht="18.75">
      <c r="A622" s="23"/>
      <c r="B622" s="107"/>
      <c r="C622" s="1157"/>
      <c r="D622" s="25"/>
      <c r="E622" s="82"/>
      <c r="F622" s="87"/>
      <c r="G622" s="34"/>
      <c r="H622" s="34"/>
      <c r="I622" s="34"/>
      <c r="J622" s="34"/>
      <c r="K622" s="34"/>
      <c r="L622" s="34"/>
      <c r="M622" s="73"/>
    </row>
    <row r="623" spans="1:13" s="18" customFormat="1" ht="18.75">
      <c r="A623" s="23"/>
      <c r="B623" s="107"/>
      <c r="C623" s="1157"/>
      <c r="D623" s="25"/>
      <c r="E623" s="82"/>
      <c r="F623" s="87"/>
      <c r="G623" s="34"/>
      <c r="H623" s="34"/>
      <c r="I623" s="34"/>
      <c r="J623" s="34"/>
      <c r="K623" s="34"/>
      <c r="L623" s="34"/>
      <c r="M623" s="73"/>
    </row>
    <row r="624" spans="1:13" s="18" customFormat="1" ht="18.75">
      <c r="A624" s="23"/>
      <c r="B624" s="107"/>
      <c r="C624" s="1157"/>
      <c r="D624" s="25"/>
      <c r="E624" s="82"/>
      <c r="F624" s="87"/>
      <c r="G624" s="34"/>
      <c r="H624" s="34"/>
      <c r="I624" s="34"/>
      <c r="J624" s="34"/>
      <c r="K624" s="34"/>
      <c r="L624" s="34"/>
      <c r="M624" s="73"/>
    </row>
    <row r="625" spans="1:13" s="18" customFormat="1" ht="18.75">
      <c r="A625" s="23"/>
      <c r="B625" s="107"/>
      <c r="C625" s="1157"/>
      <c r="D625" s="25"/>
      <c r="E625" s="82"/>
      <c r="F625" s="87"/>
      <c r="G625" s="34"/>
      <c r="H625" s="34"/>
      <c r="I625" s="34"/>
      <c r="J625" s="34"/>
      <c r="K625" s="34"/>
      <c r="L625" s="34"/>
      <c r="M625" s="73"/>
    </row>
    <row r="626" spans="1:13" s="18" customFormat="1" ht="18.75">
      <c r="A626" s="23"/>
      <c r="B626" s="107"/>
      <c r="C626" s="1157"/>
      <c r="D626" s="25"/>
      <c r="E626" s="82"/>
      <c r="F626" s="87"/>
      <c r="G626" s="34"/>
      <c r="H626" s="34"/>
      <c r="I626" s="34"/>
      <c r="J626" s="34"/>
      <c r="K626" s="34"/>
      <c r="L626" s="34"/>
      <c r="M626" s="73"/>
    </row>
    <row r="627" spans="1:13" s="18" customFormat="1" ht="18.75">
      <c r="A627" s="23"/>
      <c r="B627" s="107"/>
      <c r="C627" s="1157"/>
      <c r="D627" s="25"/>
      <c r="E627" s="82"/>
      <c r="F627" s="87"/>
      <c r="G627" s="34"/>
      <c r="H627" s="34"/>
      <c r="I627" s="34"/>
      <c r="J627" s="34"/>
      <c r="K627" s="34"/>
      <c r="L627" s="34"/>
      <c r="M627" s="73"/>
    </row>
    <row r="628" spans="1:13" s="18" customFormat="1" ht="18.75">
      <c r="A628" s="23"/>
      <c r="B628" s="107"/>
      <c r="C628" s="1157"/>
      <c r="D628" s="25"/>
      <c r="E628" s="82"/>
      <c r="F628" s="87"/>
      <c r="G628" s="34"/>
      <c r="H628" s="34"/>
      <c r="I628" s="34"/>
      <c r="J628" s="34"/>
      <c r="K628" s="34"/>
      <c r="L628" s="34"/>
      <c r="M628" s="73"/>
    </row>
    <row r="629" spans="1:13" s="18" customFormat="1" ht="18.75">
      <c r="A629" s="23"/>
      <c r="B629" s="107"/>
      <c r="C629" s="1157"/>
      <c r="D629" s="25"/>
      <c r="E629" s="82"/>
      <c r="F629" s="87"/>
      <c r="G629" s="34"/>
      <c r="H629" s="34"/>
      <c r="I629" s="34"/>
      <c r="J629" s="34"/>
      <c r="K629" s="34"/>
      <c r="L629" s="34"/>
      <c r="M629" s="73"/>
    </row>
    <row r="630" spans="1:13" s="18" customFormat="1" ht="18.75">
      <c r="A630" s="23"/>
      <c r="B630" s="107"/>
      <c r="C630" s="1157"/>
      <c r="D630" s="25"/>
      <c r="E630" s="82"/>
      <c r="F630" s="87"/>
      <c r="G630" s="34"/>
      <c r="H630" s="34"/>
      <c r="I630" s="34"/>
      <c r="J630" s="34"/>
      <c r="K630" s="34"/>
      <c r="L630" s="34"/>
      <c r="M630" s="73"/>
    </row>
    <row r="631" spans="1:13" s="18" customFormat="1" ht="18.75">
      <c r="A631" s="23"/>
      <c r="B631" s="107"/>
      <c r="C631" s="1157"/>
      <c r="D631" s="25"/>
      <c r="E631" s="82"/>
      <c r="F631" s="87"/>
      <c r="G631" s="34"/>
      <c r="H631" s="34"/>
      <c r="I631" s="34"/>
      <c r="J631" s="34"/>
      <c r="K631" s="34"/>
      <c r="L631" s="34"/>
      <c r="M631" s="73"/>
    </row>
    <row r="632" spans="1:13" s="18" customFormat="1" ht="18.75">
      <c r="A632" s="23"/>
      <c r="B632" s="107"/>
      <c r="C632" s="1157"/>
      <c r="D632" s="25"/>
      <c r="E632" s="82"/>
      <c r="F632" s="87"/>
      <c r="G632" s="34"/>
      <c r="H632" s="34"/>
      <c r="I632" s="34"/>
      <c r="J632" s="34"/>
      <c r="K632" s="34"/>
      <c r="L632" s="34"/>
      <c r="M632" s="73"/>
    </row>
    <row r="633" spans="1:13" s="18" customFormat="1" ht="18.75">
      <c r="A633" s="23"/>
      <c r="B633" s="107"/>
      <c r="C633" s="1157"/>
      <c r="D633" s="25"/>
      <c r="E633" s="82"/>
      <c r="F633" s="87"/>
      <c r="G633" s="34"/>
      <c r="H633" s="34"/>
      <c r="I633" s="34"/>
      <c r="J633" s="34"/>
      <c r="K633" s="34"/>
      <c r="L633" s="34"/>
      <c r="M633" s="73"/>
    </row>
    <row r="634" spans="1:13" s="18" customFormat="1" ht="18.75">
      <c r="A634" s="23"/>
      <c r="B634" s="107"/>
      <c r="C634" s="1157"/>
      <c r="D634" s="25"/>
      <c r="E634" s="82"/>
      <c r="F634" s="87"/>
      <c r="G634" s="34"/>
      <c r="H634" s="34"/>
      <c r="I634" s="34"/>
      <c r="J634" s="34"/>
      <c r="K634" s="34"/>
      <c r="L634" s="34"/>
      <c r="M634" s="73"/>
    </row>
    <row r="635" spans="1:13" s="18" customFormat="1" ht="18.75">
      <c r="A635" s="23"/>
      <c r="B635" s="107"/>
      <c r="C635" s="1157"/>
      <c r="D635" s="25"/>
      <c r="E635" s="82"/>
      <c r="F635" s="87"/>
      <c r="G635" s="34"/>
      <c r="H635" s="34"/>
      <c r="I635" s="34"/>
      <c r="J635" s="34"/>
      <c r="K635" s="34"/>
      <c r="L635" s="34"/>
      <c r="M635" s="73"/>
    </row>
    <row r="636" spans="1:13" s="18" customFormat="1" ht="18.75">
      <c r="A636" s="23"/>
      <c r="B636" s="107"/>
      <c r="C636" s="1157"/>
      <c r="D636" s="25"/>
      <c r="E636" s="82"/>
      <c r="F636" s="87"/>
      <c r="G636" s="34"/>
      <c r="H636" s="34"/>
      <c r="I636" s="34"/>
      <c r="J636" s="34"/>
      <c r="K636" s="34"/>
      <c r="L636" s="34"/>
      <c r="M636" s="73"/>
    </row>
    <row r="637" spans="1:13" s="18" customFormat="1" ht="18.75">
      <c r="A637" s="23"/>
      <c r="B637" s="107"/>
      <c r="C637" s="1157"/>
      <c r="D637" s="25"/>
      <c r="E637" s="82"/>
      <c r="F637" s="87"/>
      <c r="G637" s="34"/>
      <c r="H637" s="34"/>
      <c r="I637" s="34"/>
      <c r="J637" s="34"/>
      <c r="K637" s="34"/>
      <c r="L637" s="34"/>
      <c r="M637" s="73"/>
    </row>
    <row r="638" spans="1:13" s="18" customFormat="1" ht="18.75">
      <c r="A638" s="23"/>
      <c r="B638" s="107"/>
      <c r="C638" s="1157"/>
      <c r="D638" s="25"/>
      <c r="E638" s="82"/>
      <c r="F638" s="87"/>
      <c r="G638" s="34"/>
      <c r="H638" s="34"/>
      <c r="I638" s="34"/>
      <c r="J638" s="34"/>
      <c r="K638" s="34"/>
      <c r="L638" s="34"/>
      <c r="M638" s="73"/>
    </row>
    <row r="639" spans="1:13" s="18" customFormat="1" ht="18.75">
      <c r="A639" s="23"/>
      <c r="B639" s="107"/>
      <c r="C639" s="1157"/>
      <c r="D639" s="25"/>
      <c r="E639" s="82"/>
      <c r="F639" s="87"/>
      <c r="G639" s="34"/>
      <c r="H639" s="34"/>
      <c r="I639" s="34"/>
      <c r="J639" s="34"/>
      <c r="K639" s="34"/>
      <c r="L639" s="34"/>
      <c r="M639" s="73"/>
    </row>
    <row r="640" spans="1:13" s="18" customFormat="1" ht="18.75">
      <c r="A640" s="23"/>
      <c r="B640" s="107"/>
      <c r="C640" s="1157"/>
      <c r="D640" s="25"/>
      <c r="E640" s="82"/>
      <c r="F640" s="87"/>
      <c r="G640" s="34"/>
      <c r="H640" s="34"/>
      <c r="I640" s="34"/>
      <c r="J640" s="34"/>
      <c r="K640" s="34"/>
      <c r="L640" s="34"/>
      <c r="M640" s="73"/>
    </row>
    <row r="641" spans="1:13" s="18" customFormat="1" ht="18.75">
      <c r="A641" s="23"/>
      <c r="B641" s="107"/>
      <c r="C641" s="1157"/>
      <c r="D641" s="25"/>
      <c r="E641" s="82"/>
      <c r="F641" s="87"/>
      <c r="G641" s="34"/>
      <c r="H641" s="34"/>
      <c r="I641" s="34"/>
      <c r="J641" s="34"/>
      <c r="K641" s="34"/>
      <c r="L641" s="34"/>
      <c r="M641" s="73"/>
    </row>
    <row r="642" spans="1:13" s="18" customFormat="1" ht="18.75">
      <c r="A642" s="23"/>
      <c r="B642" s="107"/>
      <c r="C642" s="1157"/>
      <c r="D642" s="25"/>
      <c r="E642" s="82"/>
      <c r="F642" s="87"/>
      <c r="G642" s="34"/>
      <c r="H642" s="34"/>
      <c r="I642" s="34"/>
      <c r="J642" s="34"/>
      <c r="K642" s="34"/>
      <c r="L642" s="34"/>
      <c r="M642" s="73"/>
    </row>
    <row r="643" spans="1:13" s="18" customFormat="1" ht="18.75">
      <c r="A643" s="23"/>
      <c r="B643" s="107"/>
      <c r="C643" s="1157"/>
      <c r="D643" s="25"/>
      <c r="E643" s="82"/>
      <c r="F643" s="87"/>
      <c r="G643" s="34"/>
      <c r="H643" s="34"/>
      <c r="I643" s="34"/>
      <c r="J643" s="34"/>
      <c r="K643" s="34"/>
      <c r="L643" s="34"/>
      <c r="M643" s="73"/>
    </row>
    <row r="644" spans="1:13" s="18" customFormat="1" ht="18.75">
      <c r="A644" s="23"/>
      <c r="B644" s="107"/>
      <c r="C644" s="1157"/>
      <c r="D644" s="25"/>
      <c r="E644" s="82"/>
      <c r="F644" s="87"/>
      <c r="G644" s="34"/>
      <c r="H644" s="34"/>
      <c r="I644" s="34"/>
      <c r="J644" s="34"/>
      <c r="K644" s="34"/>
      <c r="L644" s="34"/>
      <c r="M644" s="73"/>
    </row>
    <row r="645" spans="1:13" s="18" customFormat="1" ht="18.75">
      <c r="A645" s="23"/>
      <c r="B645" s="107"/>
      <c r="C645" s="1157"/>
      <c r="D645" s="25"/>
      <c r="E645" s="82"/>
      <c r="F645" s="87"/>
      <c r="G645" s="34"/>
      <c r="H645" s="34"/>
      <c r="I645" s="34"/>
      <c r="J645" s="34"/>
      <c r="K645" s="34"/>
      <c r="L645" s="34"/>
      <c r="M645" s="73"/>
    </row>
    <row r="646" spans="1:13" s="18" customFormat="1" ht="18.75">
      <c r="A646" s="23"/>
      <c r="B646" s="107"/>
      <c r="C646" s="1157"/>
      <c r="D646" s="25"/>
      <c r="E646" s="82"/>
      <c r="F646" s="87"/>
      <c r="G646" s="34"/>
      <c r="H646" s="34"/>
      <c r="I646" s="34"/>
      <c r="J646" s="34"/>
      <c r="K646" s="34"/>
      <c r="L646" s="34"/>
      <c r="M646" s="73"/>
    </row>
    <row r="647" spans="1:13" s="18" customFormat="1" ht="18.75">
      <c r="A647" s="23"/>
      <c r="B647" s="107"/>
      <c r="C647" s="1157"/>
      <c r="D647" s="25"/>
      <c r="E647" s="82"/>
      <c r="F647" s="87"/>
      <c r="G647" s="34"/>
      <c r="H647" s="34"/>
      <c r="I647" s="34"/>
      <c r="J647" s="34"/>
      <c r="K647" s="34"/>
      <c r="L647" s="34"/>
      <c r="M647" s="73"/>
    </row>
    <row r="648" spans="1:13" s="18" customFormat="1" ht="18.75">
      <c r="A648" s="23"/>
      <c r="B648" s="107"/>
      <c r="C648" s="1157"/>
      <c r="D648" s="25"/>
      <c r="E648" s="82"/>
      <c r="F648" s="87"/>
      <c r="G648" s="34"/>
      <c r="H648" s="34"/>
      <c r="I648" s="34"/>
      <c r="J648" s="34"/>
      <c r="K648" s="34"/>
      <c r="L648" s="34"/>
      <c r="M648" s="73"/>
    </row>
    <row r="649" spans="1:13" s="18" customFormat="1" ht="18.75">
      <c r="A649" s="23"/>
      <c r="B649" s="107"/>
      <c r="C649" s="1157"/>
      <c r="D649" s="25"/>
      <c r="E649" s="82"/>
      <c r="F649" s="87"/>
      <c r="G649" s="34"/>
      <c r="H649" s="34"/>
      <c r="I649" s="34"/>
      <c r="J649" s="34"/>
      <c r="K649" s="34"/>
      <c r="L649" s="34"/>
      <c r="M649" s="73"/>
    </row>
    <row r="650" spans="1:13" s="18" customFormat="1" ht="18.75">
      <c r="A650" s="23"/>
      <c r="B650" s="107"/>
      <c r="C650" s="1157"/>
      <c r="D650" s="25"/>
      <c r="E650" s="82"/>
      <c r="F650" s="87"/>
      <c r="G650" s="34"/>
      <c r="H650" s="34"/>
      <c r="I650" s="34"/>
      <c r="J650" s="34"/>
      <c r="K650" s="34"/>
      <c r="L650" s="34"/>
      <c r="M650" s="73"/>
    </row>
    <row r="651" spans="1:13" s="18" customFormat="1" ht="18.75">
      <c r="A651" s="23"/>
      <c r="B651" s="107"/>
      <c r="C651" s="1157"/>
      <c r="D651" s="25"/>
      <c r="E651" s="82"/>
      <c r="F651" s="87"/>
      <c r="G651" s="34"/>
      <c r="H651" s="34"/>
      <c r="I651" s="34"/>
      <c r="J651" s="34"/>
      <c r="K651" s="34"/>
      <c r="L651" s="34"/>
      <c r="M651" s="73"/>
    </row>
    <row r="652" spans="1:13" s="18" customFormat="1" ht="18.75">
      <c r="A652" s="23"/>
      <c r="B652" s="107"/>
      <c r="C652" s="1157"/>
      <c r="D652" s="25"/>
      <c r="E652" s="82"/>
      <c r="F652" s="87"/>
      <c r="G652" s="34"/>
      <c r="H652" s="34"/>
      <c r="I652" s="34"/>
      <c r="J652" s="34"/>
      <c r="K652" s="34"/>
      <c r="L652" s="34"/>
      <c r="M652" s="73"/>
    </row>
    <row r="653" spans="1:13" s="18" customFormat="1" ht="18.75">
      <c r="A653" s="23"/>
      <c r="B653" s="107"/>
      <c r="C653" s="1157"/>
      <c r="D653" s="25"/>
      <c r="E653" s="82"/>
      <c r="F653" s="87"/>
      <c r="G653" s="34"/>
      <c r="H653" s="34"/>
      <c r="I653" s="34"/>
      <c r="J653" s="34"/>
      <c r="K653" s="34"/>
      <c r="L653" s="34"/>
      <c r="M653" s="73"/>
    </row>
    <row r="654" spans="1:13" s="18" customFormat="1" ht="18.75">
      <c r="A654" s="23"/>
      <c r="B654" s="107"/>
      <c r="C654" s="1157"/>
      <c r="D654" s="25"/>
      <c r="E654" s="82"/>
      <c r="F654" s="87"/>
      <c r="G654" s="34"/>
      <c r="H654" s="34"/>
      <c r="I654" s="34"/>
      <c r="J654" s="34"/>
      <c r="K654" s="34"/>
      <c r="L654" s="34"/>
      <c r="M654" s="73"/>
    </row>
    <row r="655" spans="1:13" s="18" customFormat="1" ht="18.75">
      <c r="A655" s="23"/>
      <c r="B655" s="107"/>
      <c r="C655" s="1157"/>
      <c r="D655" s="25"/>
      <c r="E655" s="82"/>
      <c r="F655" s="87"/>
      <c r="G655" s="34"/>
      <c r="H655" s="34"/>
      <c r="I655" s="34"/>
      <c r="J655" s="34"/>
      <c r="K655" s="34"/>
      <c r="L655" s="34"/>
      <c r="M655" s="73"/>
    </row>
    <row r="656" spans="1:13" s="18" customFormat="1" ht="18.75">
      <c r="A656" s="23"/>
      <c r="B656" s="107"/>
      <c r="C656" s="1157"/>
      <c r="D656" s="25"/>
      <c r="E656" s="82"/>
      <c r="F656" s="87"/>
      <c r="G656" s="34"/>
      <c r="H656" s="34"/>
      <c r="I656" s="34"/>
      <c r="J656" s="34"/>
      <c r="K656" s="34"/>
      <c r="L656" s="34"/>
      <c r="M656" s="73"/>
    </row>
    <row r="657" spans="1:13" s="18" customFormat="1" ht="18.75">
      <c r="A657" s="23"/>
      <c r="B657" s="107"/>
      <c r="C657" s="1157"/>
      <c r="D657" s="25"/>
      <c r="E657" s="82"/>
      <c r="F657" s="87"/>
      <c r="G657" s="34"/>
      <c r="H657" s="34"/>
      <c r="I657" s="34"/>
      <c r="J657" s="34"/>
      <c r="K657" s="34"/>
      <c r="L657" s="34"/>
      <c r="M657" s="73"/>
    </row>
    <row r="658" spans="1:13" s="18" customFormat="1" ht="18.75">
      <c r="A658" s="23"/>
      <c r="B658" s="107"/>
      <c r="C658" s="1157"/>
      <c r="D658" s="25"/>
      <c r="E658" s="82"/>
      <c r="F658" s="87"/>
      <c r="G658" s="34"/>
      <c r="H658" s="34"/>
      <c r="I658" s="34"/>
      <c r="J658" s="34"/>
      <c r="K658" s="34"/>
      <c r="L658" s="34"/>
      <c r="M658" s="73"/>
    </row>
    <row r="659" spans="1:13" s="18" customFormat="1" ht="18.75">
      <c r="A659" s="23"/>
      <c r="B659" s="107"/>
      <c r="C659" s="1157"/>
      <c r="D659" s="25"/>
      <c r="E659" s="82"/>
      <c r="F659" s="87"/>
      <c r="G659" s="34"/>
      <c r="H659" s="34"/>
      <c r="I659" s="34"/>
      <c r="J659" s="34"/>
      <c r="K659" s="34"/>
      <c r="L659" s="34"/>
      <c r="M659" s="73"/>
    </row>
    <row r="660" spans="1:13" s="18" customFormat="1" ht="18.75">
      <c r="A660" s="23"/>
      <c r="B660" s="107"/>
      <c r="C660" s="1157"/>
      <c r="D660" s="25"/>
      <c r="E660" s="82"/>
      <c r="F660" s="87"/>
      <c r="G660" s="34"/>
      <c r="H660" s="34"/>
      <c r="I660" s="34"/>
      <c r="J660" s="34"/>
      <c r="K660" s="34"/>
      <c r="L660" s="34"/>
      <c r="M660" s="73"/>
    </row>
    <row r="661" spans="1:13" s="18" customFormat="1" ht="18.75">
      <c r="A661" s="23"/>
      <c r="B661" s="107"/>
      <c r="C661" s="1157"/>
      <c r="D661" s="25"/>
      <c r="E661" s="82"/>
      <c r="F661" s="87"/>
      <c r="G661" s="34"/>
      <c r="H661" s="34"/>
      <c r="I661" s="34"/>
      <c r="J661" s="34"/>
      <c r="K661" s="34"/>
      <c r="L661" s="34"/>
      <c r="M661" s="73"/>
    </row>
    <row r="662" spans="1:13" s="18" customFormat="1" ht="18.75">
      <c r="A662" s="23"/>
      <c r="B662" s="107"/>
      <c r="C662" s="1157"/>
      <c r="D662" s="25"/>
      <c r="E662" s="82"/>
      <c r="F662" s="87"/>
      <c r="G662" s="34"/>
      <c r="H662" s="34"/>
      <c r="I662" s="34"/>
      <c r="J662" s="34"/>
      <c r="K662" s="34"/>
      <c r="L662" s="34"/>
      <c r="M662" s="73"/>
    </row>
    <row r="663" spans="1:13" s="18" customFormat="1" ht="18.75">
      <c r="A663" s="23"/>
      <c r="B663" s="107"/>
      <c r="C663" s="1157"/>
      <c r="D663" s="25"/>
      <c r="E663" s="82"/>
      <c r="F663" s="87"/>
      <c r="G663" s="34"/>
      <c r="H663" s="34"/>
      <c r="I663" s="34"/>
      <c r="J663" s="34"/>
      <c r="K663" s="34"/>
      <c r="L663" s="34"/>
      <c r="M663" s="73"/>
    </row>
    <row r="664" spans="1:13" s="18" customFormat="1" ht="18.75">
      <c r="A664" s="23"/>
      <c r="B664" s="107"/>
      <c r="C664" s="1157"/>
      <c r="D664" s="25"/>
      <c r="E664" s="82"/>
      <c r="F664" s="87"/>
      <c r="G664" s="34"/>
      <c r="H664" s="34"/>
      <c r="I664" s="34"/>
      <c r="J664" s="34"/>
      <c r="K664" s="34"/>
      <c r="L664" s="34"/>
      <c r="M664" s="73"/>
    </row>
    <row r="665" spans="1:13" s="18" customFormat="1" ht="18.75">
      <c r="A665" s="23"/>
      <c r="B665" s="107"/>
      <c r="C665" s="1157"/>
      <c r="D665" s="25"/>
      <c r="E665" s="82"/>
      <c r="F665" s="87"/>
      <c r="G665" s="34"/>
      <c r="H665" s="34"/>
      <c r="I665" s="34"/>
      <c r="J665" s="34"/>
      <c r="K665" s="34"/>
      <c r="L665" s="34"/>
      <c r="M665" s="73"/>
    </row>
    <row r="666" spans="1:13" s="18" customFormat="1" ht="18.75">
      <c r="A666" s="23"/>
      <c r="B666" s="107"/>
      <c r="C666" s="1157"/>
      <c r="D666" s="25"/>
      <c r="E666" s="82"/>
      <c r="F666" s="87"/>
      <c r="G666" s="34"/>
      <c r="H666" s="34"/>
      <c r="I666" s="34"/>
      <c r="J666" s="34"/>
      <c r="K666" s="34"/>
      <c r="L666" s="34"/>
      <c r="M666" s="73"/>
    </row>
    <row r="667" spans="1:13" s="18" customFormat="1" ht="18.75">
      <c r="A667" s="23"/>
      <c r="B667" s="107"/>
      <c r="C667" s="1157"/>
      <c r="D667" s="25"/>
      <c r="E667" s="82"/>
      <c r="F667" s="87"/>
      <c r="G667" s="34"/>
      <c r="H667" s="34"/>
      <c r="I667" s="34"/>
      <c r="J667" s="34"/>
      <c r="K667" s="34"/>
      <c r="L667" s="34"/>
      <c r="M667" s="73"/>
    </row>
    <row r="668" spans="1:13" s="18" customFormat="1" ht="18.75">
      <c r="A668" s="23"/>
      <c r="B668" s="107"/>
      <c r="C668" s="1157"/>
      <c r="D668" s="25"/>
      <c r="E668" s="82"/>
      <c r="F668" s="87"/>
      <c r="G668" s="34"/>
      <c r="H668" s="34"/>
      <c r="I668" s="34"/>
      <c r="J668" s="34"/>
      <c r="K668" s="34"/>
      <c r="L668" s="34"/>
      <c r="M668" s="73"/>
    </row>
    <row r="669" spans="1:13" s="18" customFormat="1" ht="18.75">
      <c r="A669" s="23"/>
      <c r="B669" s="107"/>
      <c r="C669" s="1157"/>
      <c r="D669" s="25"/>
      <c r="E669" s="82"/>
      <c r="F669" s="87"/>
      <c r="G669" s="34"/>
      <c r="H669" s="34"/>
      <c r="I669" s="34"/>
      <c r="J669" s="34"/>
      <c r="K669" s="34"/>
      <c r="L669" s="34"/>
      <c r="M669" s="73"/>
    </row>
    <row r="670" spans="1:13" s="18" customFormat="1" ht="18.75">
      <c r="A670" s="23"/>
      <c r="B670" s="107"/>
      <c r="C670" s="1157"/>
      <c r="D670" s="25"/>
      <c r="E670" s="82"/>
      <c r="F670" s="87"/>
      <c r="G670" s="34"/>
      <c r="H670" s="34"/>
      <c r="I670" s="34"/>
      <c r="J670" s="34"/>
      <c r="K670" s="34"/>
      <c r="L670" s="34"/>
      <c r="M670" s="73"/>
    </row>
    <row r="671" spans="1:13" s="18" customFormat="1" ht="18.75">
      <c r="A671" s="23"/>
      <c r="B671" s="107"/>
      <c r="C671" s="1157"/>
      <c r="D671" s="25"/>
      <c r="E671" s="82"/>
      <c r="F671" s="87"/>
      <c r="G671" s="34"/>
      <c r="H671" s="34"/>
      <c r="I671" s="34"/>
      <c r="J671" s="34"/>
      <c r="K671" s="34"/>
      <c r="L671" s="34"/>
      <c r="M671" s="73"/>
    </row>
    <row r="672" spans="1:13" s="18" customFormat="1" ht="18.75">
      <c r="A672" s="23"/>
      <c r="B672" s="107"/>
      <c r="C672" s="1157"/>
      <c r="D672" s="25"/>
      <c r="E672" s="82"/>
      <c r="F672" s="87"/>
      <c r="G672" s="34"/>
      <c r="H672" s="34"/>
      <c r="I672" s="34"/>
      <c r="J672" s="34"/>
      <c r="K672" s="34"/>
      <c r="L672" s="34"/>
      <c r="M672" s="73"/>
    </row>
    <row r="673" spans="1:13" s="18" customFormat="1" ht="18.75">
      <c r="A673" s="23"/>
      <c r="B673" s="107"/>
      <c r="C673" s="1157"/>
      <c r="D673" s="25"/>
      <c r="E673" s="82"/>
      <c r="F673" s="87"/>
      <c r="G673" s="34"/>
      <c r="H673" s="34"/>
      <c r="I673" s="34"/>
      <c r="J673" s="34"/>
      <c r="K673" s="34"/>
      <c r="L673" s="34"/>
      <c r="M673" s="73"/>
    </row>
    <row r="674" spans="1:13" s="18" customFormat="1" ht="18.75">
      <c r="A674" s="23"/>
      <c r="B674" s="107"/>
      <c r="C674" s="1157"/>
      <c r="D674" s="25"/>
      <c r="E674" s="82"/>
      <c r="F674" s="87"/>
      <c r="G674" s="34"/>
      <c r="H674" s="34"/>
      <c r="I674" s="34"/>
      <c r="J674" s="34"/>
      <c r="K674" s="34"/>
      <c r="L674" s="34"/>
      <c r="M674" s="73"/>
    </row>
    <row r="675" spans="1:13" s="18" customFormat="1" ht="18.75">
      <c r="A675" s="23"/>
      <c r="B675" s="107"/>
      <c r="C675" s="1157"/>
      <c r="D675" s="25"/>
      <c r="E675" s="82"/>
      <c r="F675" s="87"/>
      <c r="G675" s="34"/>
      <c r="H675" s="34"/>
      <c r="I675" s="34"/>
      <c r="J675" s="34"/>
      <c r="K675" s="34"/>
      <c r="L675" s="34"/>
      <c r="M675" s="73"/>
    </row>
    <row r="676" spans="1:13" s="18" customFormat="1" ht="18.75">
      <c r="A676" s="23"/>
      <c r="B676" s="107"/>
      <c r="C676" s="1157"/>
      <c r="D676" s="25"/>
      <c r="E676" s="82"/>
      <c r="F676" s="87"/>
      <c r="G676" s="34"/>
      <c r="H676" s="34"/>
      <c r="I676" s="34"/>
      <c r="J676" s="34"/>
      <c r="K676" s="34"/>
      <c r="L676" s="34"/>
      <c r="M676" s="73"/>
    </row>
    <row r="677" spans="1:13" s="18" customFormat="1" ht="18.75">
      <c r="A677" s="23"/>
      <c r="B677" s="107"/>
      <c r="C677" s="1157"/>
      <c r="D677" s="25"/>
      <c r="E677" s="82"/>
      <c r="F677" s="87"/>
      <c r="G677" s="34"/>
      <c r="H677" s="34"/>
      <c r="I677" s="34"/>
      <c r="J677" s="34"/>
      <c r="K677" s="34"/>
      <c r="L677" s="34"/>
      <c r="M677" s="73"/>
    </row>
    <row r="678" spans="1:13" s="18" customFormat="1" ht="18.75">
      <c r="A678" s="23"/>
      <c r="B678" s="107"/>
      <c r="C678" s="1157"/>
      <c r="D678" s="25"/>
      <c r="E678" s="82"/>
      <c r="F678" s="87"/>
      <c r="G678" s="34"/>
      <c r="H678" s="34"/>
      <c r="I678" s="34"/>
      <c r="J678" s="34"/>
      <c r="K678" s="34"/>
      <c r="L678" s="34"/>
      <c r="M678" s="73"/>
    </row>
    <row r="679" spans="1:13" s="18" customFormat="1" ht="18.75">
      <c r="A679" s="23"/>
      <c r="B679" s="107"/>
      <c r="C679" s="1157"/>
      <c r="D679" s="25"/>
      <c r="E679" s="82"/>
      <c r="F679" s="87"/>
      <c r="G679" s="34"/>
      <c r="H679" s="34"/>
      <c r="I679" s="34"/>
      <c r="J679" s="34"/>
      <c r="K679" s="34"/>
      <c r="L679" s="34"/>
      <c r="M679" s="73"/>
    </row>
    <row r="680" spans="1:13" s="18" customFormat="1" ht="18.75">
      <c r="A680" s="23"/>
      <c r="B680" s="107"/>
      <c r="C680" s="1157"/>
      <c r="D680" s="25"/>
      <c r="E680" s="82"/>
      <c r="F680" s="87"/>
      <c r="G680" s="34"/>
      <c r="H680" s="34"/>
      <c r="I680" s="34"/>
      <c r="J680" s="34"/>
      <c r="K680" s="34"/>
      <c r="L680" s="34"/>
      <c r="M680" s="73"/>
    </row>
    <row r="681" spans="1:13" s="18" customFormat="1" ht="18.75">
      <c r="A681" s="23"/>
      <c r="B681" s="107"/>
      <c r="C681" s="1157"/>
      <c r="D681" s="25"/>
      <c r="E681" s="82"/>
      <c r="F681" s="87"/>
      <c r="G681" s="34"/>
      <c r="H681" s="34"/>
      <c r="I681" s="34"/>
      <c r="J681" s="34"/>
      <c r="K681" s="34"/>
      <c r="L681" s="34"/>
      <c r="M681" s="73"/>
    </row>
    <row r="682" spans="1:13" s="18" customFormat="1" ht="18.75">
      <c r="A682" s="23"/>
      <c r="B682" s="107"/>
      <c r="C682" s="1157"/>
      <c r="D682" s="25"/>
      <c r="E682" s="82"/>
      <c r="F682" s="87"/>
      <c r="G682" s="34"/>
      <c r="H682" s="34"/>
      <c r="I682" s="34"/>
      <c r="J682" s="34"/>
      <c r="K682" s="34"/>
      <c r="L682" s="34"/>
      <c r="M682" s="73"/>
    </row>
    <row r="683" spans="1:13" s="18" customFormat="1" ht="18.75">
      <c r="A683" s="23"/>
      <c r="B683" s="107"/>
      <c r="C683" s="1157"/>
      <c r="D683" s="25"/>
      <c r="E683" s="82"/>
      <c r="F683" s="87"/>
      <c r="G683" s="34"/>
      <c r="H683" s="34"/>
      <c r="I683" s="34"/>
      <c r="J683" s="34"/>
      <c r="K683" s="34"/>
      <c r="L683" s="34"/>
      <c r="M683" s="73"/>
    </row>
    <row r="684" spans="1:13" s="18" customFormat="1" ht="18.75">
      <c r="A684" s="23"/>
      <c r="B684" s="107"/>
      <c r="C684" s="1157"/>
      <c r="D684" s="25"/>
      <c r="E684" s="82"/>
      <c r="F684" s="87"/>
      <c r="G684" s="34"/>
      <c r="H684" s="34"/>
      <c r="I684" s="34"/>
      <c r="J684" s="34"/>
      <c r="K684" s="34"/>
      <c r="L684" s="34"/>
      <c r="M684" s="73"/>
    </row>
    <row r="685" spans="1:13" s="18" customFormat="1" ht="18.75">
      <c r="A685" s="23"/>
      <c r="B685" s="107"/>
      <c r="C685" s="1157"/>
      <c r="D685" s="25"/>
      <c r="E685" s="82"/>
      <c r="F685" s="87"/>
      <c r="G685" s="34"/>
      <c r="H685" s="34"/>
      <c r="I685" s="34"/>
      <c r="J685" s="34"/>
      <c r="K685" s="34"/>
      <c r="L685" s="34"/>
      <c r="M685" s="73"/>
    </row>
    <row r="686" spans="1:13" s="18" customFormat="1" ht="18.75">
      <c r="A686" s="23"/>
      <c r="B686" s="107"/>
      <c r="C686" s="1157"/>
      <c r="D686" s="25"/>
      <c r="E686" s="82"/>
      <c r="F686" s="87"/>
      <c r="G686" s="34"/>
      <c r="H686" s="34"/>
      <c r="I686" s="34"/>
      <c r="J686" s="34"/>
      <c r="K686" s="34"/>
      <c r="L686" s="34"/>
      <c r="M686" s="73"/>
    </row>
    <row r="687" spans="1:13" s="18" customFormat="1" ht="18.75">
      <c r="A687" s="23"/>
      <c r="B687" s="107"/>
      <c r="C687" s="1157"/>
      <c r="D687" s="25"/>
      <c r="E687" s="82"/>
      <c r="F687" s="87"/>
      <c r="G687" s="34"/>
      <c r="H687" s="34"/>
      <c r="I687" s="34"/>
      <c r="J687" s="34"/>
      <c r="K687" s="34"/>
      <c r="L687" s="34"/>
      <c r="M687" s="73"/>
    </row>
    <row r="688" spans="1:13" s="18" customFormat="1" ht="18.75">
      <c r="A688" s="23"/>
      <c r="B688" s="107"/>
      <c r="C688" s="1157"/>
      <c r="D688" s="25"/>
      <c r="E688" s="82"/>
      <c r="F688" s="87"/>
      <c r="G688" s="34"/>
      <c r="H688" s="34"/>
      <c r="I688" s="34"/>
      <c r="J688" s="34"/>
      <c r="K688" s="34"/>
      <c r="L688" s="34"/>
      <c r="M688" s="73"/>
    </row>
    <row r="689" spans="1:13" s="18" customFormat="1" ht="18.75">
      <c r="A689" s="23"/>
      <c r="B689" s="107"/>
      <c r="C689" s="1157"/>
      <c r="D689" s="25"/>
      <c r="E689" s="82"/>
      <c r="F689" s="87"/>
      <c r="G689" s="34"/>
      <c r="H689" s="34"/>
      <c r="I689" s="34"/>
      <c r="J689" s="34"/>
      <c r="K689" s="34"/>
      <c r="L689" s="34"/>
      <c r="M689" s="73"/>
    </row>
    <row r="690" spans="1:13" s="18" customFormat="1" ht="18.75">
      <c r="A690" s="23"/>
      <c r="B690" s="107"/>
      <c r="C690" s="1157"/>
      <c r="D690" s="25"/>
      <c r="E690" s="82"/>
      <c r="F690" s="87"/>
      <c r="G690" s="34"/>
      <c r="H690" s="34"/>
      <c r="I690" s="34"/>
      <c r="J690" s="34"/>
      <c r="K690" s="34"/>
      <c r="L690" s="34"/>
      <c r="M690" s="73"/>
    </row>
    <row r="691" spans="1:13" s="18" customFormat="1" ht="18.75">
      <c r="A691" s="23"/>
      <c r="B691" s="107"/>
      <c r="C691" s="1157"/>
      <c r="D691" s="25"/>
      <c r="E691" s="82"/>
      <c r="F691" s="87"/>
      <c r="G691" s="34"/>
      <c r="H691" s="34"/>
      <c r="I691" s="34"/>
      <c r="J691" s="34"/>
      <c r="K691" s="34"/>
      <c r="L691" s="34"/>
      <c r="M691" s="73"/>
    </row>
    <row r="692" spans="1:13" s="18" customFormat="1" ht="18.75">
      <c r="A692" s="23"/>
      <c r="B692" s="107"/>
      <c r="C692" s="1157"/>
      <c r="D692" s="25"/>
      <c r="E692" s="82"/>
      <c r="F692" s="87"/>
      <c r="G692" s="34"/>
      <c r="H692" s="34"/>
      <c r="I692" s="34"/>
      <c r="J692" s="34"/>
      <c r="K692" s="34"/>
      <c r="L692" s="34"/>
      <c r="M692" s="73"/>
    </row>
    <row r="693" spans="1:13" s="18" customFormat="1" ht="18.75">
      <c r="A693" s="23"/>
      <c r="B693" s="107"/>
      <c r="C693" s="1157"/>
      <c r="D693" s="25"/>
      <c r="E693" s="82"/>
      <c r="F693" s="87"/>
      <c r="G693" s="34"/>
      <c r="H693" s="34"/>
      <c r="I693" s="34"/>
      <c r="J693" s="34"/>
      <c r="K693" s="34"/>
      <c r="L693" s="34"/>
      <c r="M693" s="73"/>
    </row>
    <row r="694" spans="1:13" s="18" customFormat="1" ht="18.75">
      <c r="A694" s="23"/>
      <c r="B694" s="107"/>
      <c r="C694" s="1157"/>
      <c r="D694" s="25"/>
      <c r="E694" s="82"/>
      <c r="F694" s="87"/>
      <c r="G694" s="34"/>
      <c r="H694" s="34"/>
      <c r="I694" s="34"/>
      <c r="J694" s="34"/>
      <c r="K694" s="34"/>
      <c r="L694" s="34"/>
      <c r="M694" s="73"/>
    </row>
    <row r="695" spans="1:13" s="18" customFormat="1" ht="18.75">
      <c r="A695" s="23"/>
      <c r="B695" s="107"/>
      <c r="C695" s="1157"/>
      <c r="D695" s="25"/>
      <c r="E695" s="82"/>
      <c r="F695" s="87"/>
      <c r="G695" s="34"/>
      <c r="H695" s="34"/>
      <c r="I695" s="34"/>
      <c r="J695" s="34"/>
      <c r="K695" s="34"/>
      <c r="L695" s="34"/>
      <c r="M695" s="73"/>
    </row>
    <row r="696" spans="1:13" s="18" customFormat="1" ht="18.75">
      <c r="A696" s="23"/>
      <c r="B696" s="107"/>
      <c r="C696" s="1157"/>
      <c r="D696" s="25"/>
      <c r="E696" s="82"/>
      <c r="F696" s="87"/>
      <c r="G696" s="34"/>
      <c r="H696" s="34"/>
      <c r="I696" s="34"/>
      <c r="J696" s="34"/>
      <c r="K696" s="34"/>
      <c r="L696" s="34"/>
      <c r="M696" s="73"/>
    </row>
    <row r="697" spans="1:13" s="18" customFormat="1" ht="18.75">
      <c r="A697" s="23"/>
      <c r="B697" s="107"/>
      <c r="C697" s="1157"/>
      <c r="D697" s="25"/>
      <c r="E697" s="82"/>
      <c r="F697" s="87"/>
      <c r="G697" s="34"/>
      <c r="H697" s="34"/>
      <c r="I697" s="34"/>
      <c r="J697" s="34"/>
      <c r="K697" s="34"/>
      <c r="L697" s="34"/>
      <c r="M697" s="73"/>
    </row>
    <row r="698" spans="1:13" s="18" customFormat="1" ht="18.75">
      <c r="A698" s="23"/>
      <c r="B698" s="107"/>
      <c r="C698" s="1157"/>
      <c r="D698" s="25"/>
      <c r="E698" s="82"/>
      <c r="F698" s="87"/>
      <c r="G698" s="34"/>
      <c r="H698" s="34"/>
      <c r="I698" s="34"/>
      <c r="J698" s="34"/>
      <c r="K698" s="34"/>
      <c r="L698" s="34"/>
      <c r="M698" s="73"/>
    </row>
    <row r="699" spans="1:13" s="18" customFormat="1" ht="18.75">
      <c r="A699" s="23"/>
      <c r="B699" s="107"/>
      <c r="C699" s="1157"/>
      <c r="D699" s="25"/>
      <c r="E699" s="82"/>
      <c r="F699" s="87"/>
      <c r="G699" s="34"/>
      <c r="H699" s="34"/>
      <c r="I699" s="34"/>
      <c r="J699" s="34"/>
      <c r="K699" s="34"/>
      <c r="L699" s="34"/>
      <c r="M699" s="73"/>
    </row>
    <row r="700" spans="1:13" s="18" customFormat="1" ht="18.75">
      <c r="A700" s="23"/>
      <c r="B700" s="107"/>
      <c r="C700" s="1157"/>
      <c r="D700" s="25"/>
      <c r="E700" s="82"/>
      <c r="F700" s="87"/>
      <c r="G700" s="34"/>
      <c r="H700" s="34"/>
      <c r="I700" s="34"/>
      <c r="J700" s="34"/>
      <c r="K700" s="34"/>
      <c r="L700" s="34"/>
      <c r="M700" s="73"/>
    </row>
    <row r="701" spans="1:13" s="18" customFormat="1" ht="18.75">
      <c r="A701" s="23"/>
      <c r="B701" s="107"/>
      <c r="C701" s="1157"/>
      <c r="D701" s="25"/>
      <c r="E701" s="82"/>
      <c r="F701" s="87"/>
      <c r="G701" s="34"/>
      <c r="H701" s="34"/>
      <c r="I701" s="34"/>
      <c r="J701" s="34"/>
      <c r="K701" s="34"/>
      <c r="L701" s="34"/>
      <c r="M701" s="73"/>
    </row>
    <row r="702" spans="1:13" s="18" customFormat="1" ht="18.75">
      <c r="A702" s="23"/>
      <c r="B702" s="107"/>
      <c r="C702" s="1157"/>
      <c r="D702" s="25"/>
      <c r="E702" s="82"/>
      <c r="F702" s="87"/>
      <c r="G702" s="34"/>
      <c r="H702" s="34"/>
      <c r="I702" s="34"/>
      <c r="J702" s="34"/>
      <c r="K702" s="34"/>
      <c r="L702" s="34"/>
      <c r="M702" s="73"/>
    </row>
    <row r="703" spans="1:13" s="18" customFormat="1" ht="18.75">
      <c r="A703" s="23"/>
      <c r="B703" s="107"/>
      <c r="C703" s="1157"/>
      <c r="D703" s="25"/>
      <c r="E703" s="82"/>
      <c r="F703" s="87"/>
      <c r="G703" s="34"/>
      <c r="H703" s="34"/>
      <c r="I703" s="34"/>
      <c r="J703" s="34"/>
      <c r="K703" s="34"/>
      <c r="L703" s="34"/>
      <c r="M703" s="73"/>
    </row>
    <row r="704" spans="1:13" s="18" customFormat="1" ht="18.75">
      <c r="A704" s="23"/>
      <c r="B704" s="107"/>
      <c r="C704" s="1157"/>
      <c r="D704" s="25"/>
      <c r="E704" s="82"/>
      <c r="F704" s="87"/>
      <c r="G704" s="34"/>
      <c r="H704" s="34"/>
      <c r="I704" s="34"/>
      <c r="J704" s="34"/>
      <c r="K704" s="34"/>
      <c r="L704" s="34"/>
      <c r="M704" s="73"/>
    </row>
    <row r="705" spans="1:13" s="18" customFormat="1" ht="18.75">
      <c r="A705" s="23"/>
      <c r="B705" s="107"/>
      <c r="C705" s="1157"/>
      <c r="D705" s="25"/>
      <c r="E705" s="82"/>
      <c r="F705" s="87"/>
      <c r="G705" s="34"/>
      <c r="H705" s="34"/>
      <c r="I705" s="34"/>
      <c r="J705" s="34"/>
      <c r="K705" s="34"/>
      <c r="L705" s="34"/>
      <c r="M705" s="73"/>
    </row>
    <row r="706" spans="1:13" s="18" customFormat="1" ht="18.75">
      <c r="A706" s="23"/>
      <c r="B706" s="107"/>
      <c r="C706" s="1157"/>
      <c r="D706" s="25"/>
      <c r="E706" s="82"/>
      <c r="F706" s="87"/>
      <c r="G706" s="34"/>
      <c r="H706" s="34"/>
      <c r="I706" s="34"/>
      <c r="J706" s="34"/>
      <c r="K706" s="34"/>
      <c r="L706" s="34"/>
      <c r="M706" s="73"/>
    </row>
    <row r="707" spans="1:13" s="18" customFormat="1" ht="18.75">
      <c r="A707" s="23"/>
      <c r="B707" s="107"/>
      <c r="C707" s="1157"/>
      <c r="D707" s="25"/>
      <c r="E707" s="82"/>
      <c r="F707" s="87"/>
      <c r="G707" s="34"/>
      <c r="H707" s="34"/>
      <c r="I707" s="34"/>
      <c r="J707" s="34"/>
      <c r="K707" s="34"/>
      <c r="L707" s="34"/>
      <c r="M707" s="73"/>
    </row>
    <row r="708" spans="1:13" s="18" customFormat="1" ht="18.75">
      <c r="A708" s="23"/>
      <c r="B708" s="107"/>
      <c r="C708" s="1157"/>
      <c r="D708" s="25"/>
      <c r="E708" s="82"/>
      <c r="F708" s="87"/>
      <c r="G708" s="34"/>
      <c r="H708" s="34"/>
      <c r="I708" s="34"/>
      <c r="J708" s="34"/>
      <c r="K708" s="34"/>
      <c r="L708" s="34"/>
      <c r="M708" s="73"/>
    </row>
    <row r="709" spans="1:13" s="18" customFormat="1" ht="18.75">
      <c r="A709" s="23"/>
      <c r="B709" s="107"/>
      <c r="C709" s="1157"/>
      <c r="D709" s="25"/>
      <c r="E709" s="82"/>
      <c r="F709" s="87"/>
      <c r="G709" s="34"/>
      <c r="H709" s="34"/>
      <c r="I709" s="34"/>
      <c r="J709" s="34"/>
      <c r="K709" s="34"/>
      <c r="L709" s="34"/>
      <c r="M709" s="73"/>
    </row>
    <row r="710" spans="1:13" s="18" customFormat="1" ht="18.75">
      <c r="A710" s="23"/>
      <c r="B710" s="107"/>
      <c r="C710" s="1157"/>
      <c r="D710" s="25"/>
      <c r="E710" s="82"/>
      <c r="F710" s="87"/>
      <c r="G710" s="34"/>
      <c r="H710" s="34"/>
      <c r="I710" s="34"/>
      <c r="J710" s="34"/>
      <c r="K710" s="34"/>
      <c r="L710" s="34"/>
      <c r="M710" s="73"/>
    </row>
    <row r="711" spans="1:13" s="18" customFormat="1" ht="18.75">
      <c r="A711" s="23"/>
      <c r="B711" s="107"/>
      <c r="C711" s="1157"/>
      <c r="D711" s="25"/>
      <c r="E711" s="82"/>
      <c r="F711" s="87"/>
      <c r="G711" s="34"/>
      <c r="H711" s="34"/>
      <c r="I711" s="34"/>
      <c r="J711" s="34"/>
      <c r="K711" s="34"/>
      <c r="L711" s="34"/>
      <c r="M711" s="73"/>
    </row>
    <row r="712" spans="1:13" s="18" customFormat="1" ht="18.75">
      <c r="A712" s="23"/>
      <c r="B712" s="107"/>
      <c r="C712" s="1157"/>
      <c r="D712" s="25"/>
      <c r="E712" s="82"/>
      <c r="F712" s="87"/>
      <c r="G712" s="34"/>
      <c r="H712" s="34"/>
      <c r="I712" s="34"/>
      <c r="J712" s="34"/>
      <c r="K712" s="34"/>
      <c r="L712" s="34"/>
      <c r="M712" s="73"/>
    </row>
    <row r="713" spans="1:13" s="18" customFormat="1" ht="18.75">
      <c r="A713" s="23"/>
      <c r="B713" s="107"/>
      <c r="C713" s="1157"/>
      <c r="D713" s="25"/>
      <c r="E713" s="82"/>
      <c r="F713" s="87"/>
      <c r="G713" s="34"/>
      <c r="H713" s="34"/>
      <c r="I713" s="34"/>
      <c r="J713" s="34"/>
      <c r="K713" s="34"/>
      <c r="L713" s="34"/>
      <c r="M713" s="73"/>
    </row>
    <row r="714" spans="1:13" s="18" customFormat="1" ht="18.75">
      <c r="A714" s="23"/>
      <c r="B714" s="107"/>
      <c r="C714" s="1157"/>
      <c r="D714" s="25"/>
      <c r="E714" s="82"/>
      <c r="F714" s="87"/>
      <c r="G714" s="34"/>
      <c r="H714" s="34"/>
      <c r="I714" s="34"/>
      <c r="J714" s="34"/>
      <c r="K714" s="34"/>
      <c r="L714" s="34"/>
      <c r="M714" s="73"/>
    </row>
    <row r="715" spans="1:13" s="18" customFormat="1" ht="18.75">
      <c r="A715" s="23"/>
      <c r="B715" s="107"/>
      <c r="C715" s="1157"/>
      <c r="D715" s="25"/>
      <c r="E715" s="82"/>
      <c r="F715" s="87"/>
      <c r="G715" s="34"/>
      <c r="H715" s="34"/>
      <c r="I715" s="34"/>
      <c r="J715" s="34"/>
      <c r="K715" s="34"/>
      <c r="L715" s="34"/>
      <c r="M715" s="73"/>
    </row>
    <row r="716" spans="1:13" s="18" customFormat="1" ht="18.75">
      <c r="A716" s="23"/>
      <c r="B716" s="107"/>
      <c r="C716" s="1157"/>
      <c r="D716" s="25"/>
      <c r="E716" s="82"/>
      <c r="F716" s="87"/>
      <c r="G716" s="34"/>
      <c r="H716" s="34"/>
      <c r="I716" s="34"/>
      <c r="J716" s="34"/>
      <c r="K716" s="34"/>
      <c r="L716" s="34"/>
      <c r="M716" s="73"/>
    </row>
    <row r="717" spans="1:13" s="18" customFormat="1" ht="18.75">
      <c r="A717" s="23"/>
      <c r="B717" s="107"/>
      <c r="C717" s="1157"/>
      <c r="D717" s="25"/>
      <c r="E717" s="82"/>
      <c r="F717" s="87"/>
      <c r="G717" s="34"/>
      <c r="H717" s="34"/>
      <c r="I717" s="34"/>
      <c r="J717" s="34"/>
      <c r="K717" s="34"/>
      <c r="L717" s="34"/>
      <c r="M717" s="73"/>
    </row>
    <row r="718" spans="1:13" s="18" customFormat="1" ht="18.75">
      <c r="A718" s="23"/>
      <c r="B718" s="107"/>
      <c r="C718" s="1157"/>
      <c r="D718" s="25"/>
      <c r="E718" s="82"/>
      <c r="F718" s="87"/>
      <c r="G718" s="34"/>
      <c r="H718" s="34"/>
      <c r="I718" s="34"/>
      <c r="J718" s="34"/>
      <c r="K718" s="34"/>
      <c r="L718" s="34"/>
      <c r="M718" s="73"/>
    </row>
    <row r="719" spans="1:13" s="18" customFormat="1" ht="18.75">
      <c r="A719" s="23"/>
      <c r="B719" s="107"/>
      <c r="C719" s="1157"/>
      <c r="D719" s="25"/>
      <c r="E719" s="82"/>
      <c r="F719" s="87"/>
      <c r="G719" s="34"/>
      <c r="H719" s="34"/>
      <c r="I719" s="34"/>
      <c r="J719" s="34"/>
      <c r="K719" s="34"/>
      <c r="L719" s="34"/>
      <c r="M719" s="73"/>
    </row>
    <row r="720" spans="1:13" s="18" customFormat="1" ht="18.75">
      <c r="A720" s="23"/>
      <c r="B720" s="107"/>
      <c r="C720" s="1157"/>
      <c r="D720" s="25"/>
      <c r="E720" s="82"/>
      <c r="F720" s="87"/>
      <c r="G720" s="34"/>
      <c r="H720" s="34"/>
      <c r="I720" s="34"/>
      <c r="J720" s="34"/>
      <c r="K720" s="34"/>
      <c r="L720" s="34"/>
      <c r="M720" s="73"/>
    </row>
    <row r="721" spans="1:13" s="18" customFormat="1" ht="18.75">
      <c r="A721" s="23"/>
      <c r="B721" s="107"/>
      <c r="C721" s="1157"/>
      <c r="D721" s="25"/>
      <c r="E721" s="82"/>
      <c r="F721" s="87"/>
      <c r="G721" s="34"/>
      <c r="H721" s="34"/>
      <c r="I721" s="34"/>
      <c r="J721" s="34"/>
      <c r="K721" s="34"/>
      <c r="L721" s="34"/>
      <c r="M721" s="73"/>
    </row>
    <row r="722" spans="1:13" s="18" customFormat="1" ht="18.75">
      <c r="A722" s="23"/>
      <c r="B722" s="107"/>
      <c r="C722" s="1157"/>
      <c r="D722" s="25"/>
      <c r="E722" s="82"/>
      <c r="F722" s="87"/>
      <c r="G722" s="34"/>
      <c r="H722" s="34"/>
      <c r="I722" s="34"/>
      <c r="J722" s="34"/>
      <c r="K722" s="34"/>
      <c r="L722" s="34"/>
      <c r="M722" s="73"/>
    </row>
    <row r="723" spans="1:13" s="18" customFormat="1" ht="18.75">
      <c r="A723" s="23"/>
      <c r="B723" s="107"/>
      <c r="C723" s="1157"/>
      <c r="D723" s="25"/>
      <c r="E723" s="82"/>
      <c r="F723" s="87"/>
      <c r="G723" s="34"/>
      <c r="H723" s="34"/>
      <c r="I723" s="34"/>
      <c r="J723" s="34"/>
      <c r="K723" s="34"/>
      <c r="L723" s="34"/>
      <c r="M723" s="73"/>
    </row>
    <row r="724" spans="1:13" s="18" customFormat="1" ht="18.75">
      <c r="A724" s="23"/>
      <c r="B724" s="107"/>
      <c r="C724" s="1157"/>
      <c r="D724" s="25"/>
      <c r="E724" s="82"/>
      <c r="F724" s="87"/>
      <c r="G724" s="34"/>
      <c r="H724" s="34"/>
      <c r="I724" s="34"/>
      <c r="J724" s="34"/>
      <c r="K724" s="34"/>
      <c r="L724" s="34"/>
      <c r="M724" s="73"/>
    </row>
    <row r="725" spans="1:13" s="18" customFormat="1" ht="18.75">
      <c r="A725" s="23"/>
      <c r="B725" s="107"/>
      <c r="C725" s="1157"/>
      <c r="D725" s="25"/>
      <c r="E725" s="82"/>
      <c r="F725" s="87"/>
      <c r="G725" s="34"/>
      <c r="H725" s="34"/>
      <c r="I725" s="34"/>
      <c r="J725" s="34"/>
      <c r="K725" s="34"/>
      <c r="L725" s="34"/>
      <c r="M725" s="73"/>
    </row>
    <row r="726" spans="1:13" s="18" customFormat="1" ht="18.75">
      <c r="A726" s="23"/>
      <c r="B726" s="107"/>
      <c r="C726" s="1157"/>
      <c r="D726" s="25"/>
      <c r="E726" s="82"/>
      <c r="F726" s="87"/>
      <c r="G726" s="34"/>
      <c r="H726" s="34"/>
      <c r="I726" s="34"/>
      <c r="J726" s="34"/>
      <c r="K726" s="34"/>
      <c r="L726" s="34"/>
      <c r="M726" s="73"/>
    </row>
    <row r="727" spans="1:13" s="18" customFormat="1" ht="18.75">
      <c r="A727" s="23"/>
      <c r="B727" s="107"/>
      <c r="C727" s="1157"/>
      <c r="D727" s="25"/>
      <c r="E727" s="82"/>
      <c r="F727" s="87"/>
      <c r="G727" s="34"/>
      <c r="H727" s="34"/>
      <c r="I727" s="34"/>
      <c r="J727" s="34"/>
      <c r="K727" s="34"/>
      <c r="L727" s="34"/>
      <c r="M727" s="73"/>
    </row>
    <row r="728" spans="1:13" s="18" customFormat="1" ht="18.75">
      <c r="A728" s="23"/>
      <c r="B728" s="107"/>
      <c r="C728" s="1157"/>
      <c r="D728" s="25"/>
      <c r="E728" s="82"/>
      <c r="F728" s="87"/>
      <c r="G728" s="34"/>
      <c r="H728" s="34"/>
      <c r="I728" s="34"/>
      <c r="J728" s="34"/>
      <c r="K728" s="34"/>
      <c r="L728" s="34"/>
      <c r="M728" s="73"/>
    </row>
    <row r="729" spans="1:13" s="18" customFormat="1" ht="18.75">
      <c r="A729" s="23"/>
      <c r="B729" s="107"/>
      <c r="C729" s="1157"/>
      <c r="D729" s="25"/>
      <c r="E729" s="82"/>
      <c r="F729" s="87"/>
      <c r="G729" s="34"/>
      <c r="H729" s="34"/>
      <c r="I729" s="34"/>
      <c r="J729" s="34"/>
      <c r="K729" s="34"/>
      <c r="L729" s="34"/>
      <c r="M729" s="73"/>
    </row>
    <row r="730" spans="1:13" s="18" customFormat="1" ht="18.75">
      <c r="A730" s="23"/>
      <c r="B730" s="107"/>
      <c r="C730" s="1157"/>
      <c r="D730" s="25"/>
      <c r="E730" s="82"/>
      <c r="F730" s="87"/>
      <c r="G730" s="34"/>
      <c r="H730" s="34"/>
      <c r="I730" s="34"/>
      <c r="J730" s="34"/>
      <c r="K730" s="34"/>
      <c r="L730" s="34"/>
      <c r="M730" s="73"/>
    </row>
    <row r="7405" spans="5:12" ht="18">
      <c r="E7405" s="84"/>
      <c r="F7405" s="89"/>
      <c r="G7405" s="35"/>
      <c r="H7405" s="35"/>
      <c r="I7405" s="35"/>
      <c r="J7405" s="35"/>
      <c r="K7405" s="35"/>
      <c r="L7405" s="35"/>
    </row>
    <row r="7406" spans="5:12" ht="18">
      <c r="E7406" s="84"/>
      <c r="F7406" s="89"/>
      <c r="G7406" s="35"/>
      <c r="H7406" s="35"/>
      <c r="I7406" s="35"/>
      <c r="J7406" s="35"/>
      <c r="K7406" s="35"/>
      <c r="L7406" s="35"/>
    </row>
    <row r="7407" spans="5:12" ht="18">
      <c r="E7407" s="84"/>
      <c r="F7407" s="89"/>
      <c r="G7407" s="35"/>
      <c r="H7407" s="35"/>
      <c r="I7407" s="35"/>
      <c r="J7407" s="35"/>
      <c r="K7407" s="35"/>
      <c r="L7407" s="35"/>
    </row>
    <row r="7408" spans="5:12" ht="18">
      <c r="E7408" s="84"/>
      <c r="F7408" s="89"/>
      <c r="G7408" s="35"/>
      <c r="H7408" s="35"/>
      <c r="I7408" s="35"/>
      <c r="J7408" s="35"/>
      <c r="K7408" s="35"/>
      <c r="L7408" s="35"/>
    </row>
    <row r="7409" spans="5:12" ht="18">
      <c r="E7409" s="84"/>
      <c r="F7409" s="89"/>
      <c r="G7409" s="35"/>
      <c r="H7409" s="35"/>
      <c r="I7409" s="35"/>
      <c r="J7409" s="35"/>
      <c r="K7409" s="35"/>
      <c r="L7409" s="35"/>
    </row>
    <row r="7410" spans="5:12" ht="18">
      <c r="E7410" s="84"/>
      <c r="F7410" s="89"/>
      <c r="G7410" s="35"/>
      <c r="H7410" s="35"/>
      <c r="I7410" s="35"/>
      <c r="J7410" s="35"/>
      <c r="K7410" s="35"/>
      <c r="L7410" s="35"/>
    </row>
    <row r="7411" spans="5:12" ht="18">
      <c r="E7411" s="84"/>
      <c r="F7411" s="89"/>
      <c r="G7411" s="35"/>
      <c r="H7411" s="35"/>
      <c r="I7411" s="35"/>
      <c r="J7411" s="35"/>
      <c r="K7411" s="35"/>
      <c r="L7411" s="35"/>
    </row>
    <row r="7412" spans="5:12" ht="18">
      <c r="E7412" s="84"/>
      <c r="F7412" s="89"/>
      <c r="G7412" s="35"/>
      <c r="H7412" s="35"/>
      <c r="I7412" s="35"/>
      <c r="J7412" s="35"/>
      <c r="K7412" s="35"/>
      <c r="L7412" s="35"/>
    </row>
    <row r="7413" spans="5:12" ht="18">
      <c r="E7413" s="84"/>
      <c r="F7413" s="89"/>
      <c r="G7413" s="35"/>
      <c r="H7413" s="35"/>
      <c r="I7413" s="35"/>
      <c r="J7413" s="35"/>
      <c r="K7413" s="35"/>
      <c r="L7413" s="35"/>
    </row>
    <row r="7414" spans="5:12" ht="18">
      <c r="E7414" s="84"/>
      <c r="F7414" s="89"/>
      <c r="G7414" s="35"/>
      <c r="H7414" s="35"/>
      <c r="I7414" s="35"/>
      <c r="J7414" s="35"/>
      <c r="K7414" s="35"/>
      <c r="L7414" s="35"/>
    </row>
    <row r="7415" spans="5:12" ht="18">
      <c r="E7415" s="84"/>
      <c r="F7415" s="89"/>
      <c r="G7415" s="35"/>
      <c r="H7415" s="35"/>
      <c r="I7415" s="35"/>
      <c r="J7415" s="35"/>
      <c r="K7415" s="35"/>
      <c r="L7415" s="35"/>
    </row>
    <row r="7416" spans="5:12" ht="18">
      <c r="E7416" s="84"/>
      <c r="F7416" s="89"/>
      <c r="G7416" s="35"/>
      <c r="H7416" s="35"/>
      <c r="I7416" s="35"/>
      <c r="J7416" s="35"/>
      <c r="K7416" s="35"/>
      <c r="L7416" s="35"/>
    </row>
    <row r="7417" spans="5:12" ht="18">
      <c r="E7417" s="84"/>
      <c r="F7417" s="89"/>
      <c r="G7417" s="35"/>
      <c r="H7417" s="35"/>
      <c r="I7417" s="35"/>
      <c r="J7417" s="35"/>
      <c r="K7417" s="35"/>
      <c r="L7417" s="35"/>
    </row>
    <row r="7418" spans="5:12" ht="18">
      <c r="E7418" s="84"/>
      <c r="F7418" s="89"/>
      <c r="G7418" s="35"/>
      <c r="H7418" s="35"/>
      <c r="I7418" s="35"/>
      <c r="J7418" s="35"/>
      <c r="K7418" s="35"/>
      <c r="L7418" s="35"/>
    </row>
    <row r="7419" spans="5:12" ht="18">
      <c r="E7419" s="84"/>
      <c r="F7419" s="89"/>
      <c r="G7419" s="35"/>
      <c r="H7419" s="35"/>
      <c r="I7419" s="35"/>
      <c r="J7419" s="35"/>
      <c r="K7419" s="35"/>
      <c r="L7419" s="35"/>
    </row>
    <row r="7420" spans="5:12" ht="18">
      <c r="E7420" s="85"/>
      <c r="F7420" s="90"/>
      <c r="G7420" s="36"/>
      <c r="H7420" s="36"/>
      <c r="I7420" s="36"/>
      <c r="J7420" s="36"/>
      <c r="K7420" s="36"/>
      <c r="L7420" s="36"/>
    </row>
    <row r="7421" spans="5:12" ht="18">
      <c r="E7421" s="85"/>
      <c r="F7421" s="90"/>
      <c r="G7421" s="36"/>
      <c r="H7421" s="36"/>
      <c r="I7421" s="36"/>
      <c r="J7421" s="36"/>
      <c r="K7421" s="36"/>
      <c r="L7421" s="36"/>
    </row>
    <row r="7422" spans="5:12" ht="18">
      <c r="E7422" s="85"/>
      <c r="F7422" s="90"/>
      <c r="G7422" s="36"/>
      <c r="H7422" s="36"/>
      <c r="I7422" s="36"/>
      <c r="J7422" s="36"/>
      <c r="K7422" s="36"/>
      <c r="L7422" s="36"/>
    </row>
    <row r="7423" spans="5:12" ht="18">
      <c r="E7423" s="85"/>
      <c r="F7423" s="90"/>
      <c r="G7423" s="36"/>
      <c r="H7423" s="36"/>
      <c r="I7423" s="36"/>
      <c r="J7423" s="36"/>
      <c r="K7423" s="36"/>
      <c r="L7423" s="36"/>
    </row>
    <row r="7424" spans="5:12" ht="18">
      <c r="E7424" s="85"/>
      <c r="F7424" s="90"/>
      <c r="G7424" s="36"/>
      <c r="H7424" s="36"/>
      <c r="I7424" s="36"/>
      <c r="J7424" s="36"/>
      <c r="K7424" s="36"/>
      <c r="L7424" s="36"/>
    </row>
    <row r="7425" spans="5:12" ht="18">
      <c r="E7425" s="85"/>
      <c r="F7425" s="90"/>
      <c r="G7425" s="36"/>
      <c r="H7425" s="36"/>
      <c r="I7425" s="36"/>
      <c r="J7425" s="36"/>
      <c r="K7425" s="36"/>
      <c r="L7425" s="36"/>
    </row>
    <row r="7426" spans="5:12" ht="18">
      <c r="E7426" s="85"/>
      <c r="F7426" s="90"/>
      <c r="G7426" s="36"/>
      <c r="H7426" s="36"/>
      <c r="I7426" s="36"/>
      <c r="J7426" s="36"/>
      <c r="K7426" s="36"/>
      <c r="L7426" s="36"/>
    </row>
    <row r="7427" spans="5:12" ht="18">
      <c r="E7427" s="85"/>
      <c r="F7427" s="90"/>
      <c r="G7427" s="36"/>
      <c r="H7427" s="36"/>
      <c r="I7427" s="36"/>
      <c r="J7427" s="36"/>
      <c r="K7427" s="36"/>
      <c r="L7427" s="36"/>
    </row>
    <row r="7428" spans="5:12" ht="18">
      <c r="E7428" s="85"/>
      <c r="F7428" s="90"/>
      <c r="G7428" s="36"/>
      <c r="H7428" s="36"/>
      <c r="I7428" s="36"/>
      <c r="J7428" s="36"/>
      <c r="K7428" s="36"/>
      <c r="L7428" s="36"/>
    </row>
    <row r="7429" spans="5:12" ht="18">
      <c r="E7429" s="85"/>
      <c r="F7429" s="90"/>
      <c r="G7429" s="36"/>
      <c r="H7429" s="36"/>
      <c r="I7429" s="36"/>
      <c r="J7429" s="36"/>
      <c r="K7429" s="36"/>
      <c r="L7429" s="36"/>
    </row>
    <row r="7430" spans="5:12" ht="18">
      <c r="E7430" s="85"/>
      <c r="F7430" s="90"/>
      <c r="G7430" s="36"/>
      <c r="H7430" s="36"/>
      <c r="I7430" s="36"/>
      <c r="J7430" s="36"/>
      <c r="K7430" s="36"/>
      <c r="L7430" s="36"/>
    </row>
    <row r="7431" spans="5:12" ht="18">
      <c r="E7431" s="85"/>
      <c r="F7431" s="90"/>
      <c r="G7431" s="36"/>
      <c r="H7431" s="36"/>
      <c r="I7431" s="36"/>
      <c r="J7431" s="36"/>
      <c r="K7431" s="36"/>
      <c r="L7431" s="36"/>
    </row>
    <row r="7432" spans="5:12" ht="18">
      <c r="E7432" s="85"/>
      <c r="F7432" s="90"/>
      <c r="G7432" s="36"/>
      <c r="H7432" s="36"/>
      <c r="I7432" s="36"/>
      <c r="J7432" s="36"/>
      <c r="K7432" s="36"/>
      <c r="L7432" s="36"/>
    </row>
    <row r="7433" spans="5:12" ht="18">
      <c r="E7433" s="85"/>
      <c r="F7433" s="90"/>
      <c r="G7433" s="36"/>
      <c r="H7433" s="36"/>
      <c r="I7433" s="36"/>
      <c r="J7433" s="36"/>
      <c r="K7433" s="36"/>
      <c r="L7433" s="36"/>
    </row>
    <row r="7434" spans="5:12" ht="18">
      <c r="E7434" s="85"/>
      <c r="F7434" s="90"/>
      <c r="G7434" s="36"/>
      <c r="H7434" s="36"/>
      <c r="I7434" s="36"/>
      <c r="J7434" s="36"/>
      <c r="K7434" s="36"/>
      <c r="L7434" s="36"/>
    </row>
    <row r="7435" spans="5:12" ht="18">
      <c r="E7435" s="85"/>
      <c r="F7435" s="90"/>
      <c r="G7435" s="36"/>
      <c r="H7435" s="36"/>
      <c r="I7435" s="36"/>
      <c r="J7435" s="36"/>
      <c r="K7435" s="36"/>
      <c r="L7435" s="36"/>
    </row>
    <row r="7436" spans="5:12" ht="18">
      <c r="E7436" s="85"/>
      <c r="F7436" s="90"/>
      <c r="G7436" s="36"/>
      <c r="H7436" s="36"/>
      <c r="I7436" s="36"/>
      <c r="J7436" s="36"/>
      <c r="K7436" s="36"/>
      <c r="L7436" s="36"/>
    </row>
    <row r="7437" spans="5:12" ht="18">
      <c r="E7437" s="85"/>
      <c r="F7437" s="90"/>
      <c r="G7437" s="36"/>
      <c r="H7437" s="36"/>
      <c r="I7437" s="36"/>
      <c r="J7437" s="36"/>
      <c r="K7437" s="36"/>
      <c r="L7437" s="36"/>
    </row>
    <row r="7438" spans="5:12" ht="18">
      <c r="E7438" s="85"/>
      <c r="F7438" s="90"/>
      <c r="G7438" s="36"/>
      <c r="H7438" s="36"/>
      <c r="I7438" s="36"/>
      <c r="J7438" s="36"/>
      <c r="K7438" s="36"/>
      <c r="L7438" s="36"/>
    </row>
    <row r="7439" spans="5:12" ht="18">
      <c r="E7439" s="85"/>
      <c r="F7439" s="90"/>
      <c r="G7439" s="36"/>
      <c r="H7439" s="36"/>
      <c r="I7439" s="36"/>
      <c r="J7439" s="36"/>
      <c r="K7439" s="36"/>
      <c r="L7439" s="36"/>
    </row>
    <row r="7440" spans="5:12" ht="18">
      <c r="E7440" s="85"/>
      <c r="F7440" s="90"/>
      <c r="G7440" s="36"/>
      <c r="H7440" s="36"/>
      <c r="I7440" s="36"/>
      <c r="J7440" s="36"/>
      <c r="K7440" s="36"/>
      <c r="L7440" s="36"/>
    </row>
    <row r="7441" spans="5:12" ht="18">
      <c r="E7441" s="85"/>
      <c r="F7441" s="90"/>
      <c r="G7441" s="36"/>
      <c r="H7441" s="36"/>
      <c r="I7441" s="36"/>
      <c r="J7441" s="36"/>
      <c r="K7441" s="36"/>
      <c r="L7441" s="36"/>
    </row>
    <row r="7442" spans="5:12" ht="18">
      <c r="E7442" s="85"/>
      <c r="F7442" s="90"/>
      <c r="G7442" s="36"/>
      <c r="H7442" s="36"/>
      <c r="I7442" s="36"/>
      <c r="J7442" s="36"/>
      <c r="K7442" s="36"/>
      <c r="L7442" s="36"/>
    </row>
    <row r="7443" spans="5:12" ht="18">
      <c r="E7443" s="85"/>
      <c r="F7443" s="90"/>
      <c r="G7443" s="36"/>
      <c r="H7443" s="36"/>
      <c r="I7443" s="36"/>
      <c r="J7443" s="36"/>
      <c r="K7443" s="36"/>
      <c r="L7443" s="36"/>
    </row>
    <row r="7444" spans="5:12" ht="18">
      <c r="E7444" s="85"/>
      <c r="F7444" s="90"/>
      <c r="G7444" s="36"/>
      <c r="H7444" s="36"/>
      <c r="I7444" s="36"/>
      <c r="J7444" s="36"/>
      <c r="K7444" s="36"/>
      <c r="L7444" s="36"/>
    </row>
    <row r="7445" spans="5:12" ht="18">
      <c r="E7445" s="85"/>
      <c r="F7445" s="90"/>
      <c r="G7445" s="36"/>
      <c r="H7445" s="36"/>
      <c r="I7445" s="36"/>
      <c r="J7445" s="36"/>
      <c r="K7445" s="36"/>
      <c r="L7445" s="36"/>
    </row>
    <row r="7446" spans="5:12" ht="18">
      <c r="E7446" s="85"/>
      <c r="F7446" s="90"/>
      <c r="G7446" s="36"/>
      <c r="H7446" s="36"/>
      <c r="I7446" s="36"/>
      <c r="J7446" s="36"/>
      <c r="K7446" s="36"/>
      <c r="L7446" s="36"/>
    </row>
    <row r="7447" spans="1:13" ht="18">
      <c r="A7447" s="140"/>
      <c r="B7447" s="109"/>
      <c r="E7447" s="85"/>
      <c r="F7447" s="90"/>
      <c r="G7447" s="36"/>
      <c r="H7447" s="36"/>
      <c r="I7447" s="36"/>
      <c r="J7447" s="36"/>
      <c r="K7447" s="36"/>
      <c r="L7447" s="36"/>
      <c r="M7447" s="30"/>
    </row>
    <row r="7448" spans="1:13" ht="18">
      <c r="A7448" s="141"/>
      <c r="B7448" s="142"/>
      <c r="C7448" s="1246"/>
      <c r="D7448" s="27"/>
      <c r="E7448" s="86"/>
      <c r="F7448" s="91"/>
      <c r="G7448" s="31"/>
      <c r="H7448" s="31"/>
      <c r="I7448" s="31"/>
      <c r="J7448" s="31"/>
      <c r="K7448" s="31"/>
      <c r="L7448" s="31"/>
      <c r="M7448" s="37"/>
    </row>
  </sheetData>
  <mergeCells count="3">
    <mergeCell ref="A1:A2"/>
    <mergeCell ref="E1:E2"/>
    <mergeCell ref="F1:M1"/>
  </mergeCells>
  <printOptions horizontalCentered="1"/>
  <pageMargins left="0.5905511811023623" right="0.3937007874015748" top="0.4724409448818898" bottom="0.5905511811023623" header="0.1968503937007874" footer="0.1968503937007874"/>
  <pageSetup fitToHeight="100" fitToWidth="1" horizontalDpi="300" verticalDpi="300" orientation="landscape" paperSize="9" scale="10" r:id="rId1"/>
  <headerFooter alignWithMargins="0">
    <oddHeader>&amp;C&amp;"Arial CE,Kursywa"&amp;24Projekt budżetu gminy Łęczna na 2007 rok</oddHeader>
    <oddFooter>&amp;C&amp;"Arial CE,Kursywa"&amp;28-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" sqref="E9"/>
    </sheetView>
  </sheetViews>
  <sheetFormatPr defaultColWidth="9.00390625" defaultRowHeight="12.75"/>
  <cols>
    <col min="1" max="1" width="8.75390625" style="1923" customWidth="1"/>
    <col min="2" max="2" width="57.00390625" style="1923" customWidth="1"/>
    <col min="3" max="9" width="17.75390625" style="1923" customWidth="1"/>
    <col min="10" max="16384" width="9.125" style="1923" customWidth="1"/>
  </cols>
  <sheetData>
    <row r="1" spans="1:9" ht="27" customHeight="1">
      <c r="A1" s="2060" t="s">
        <v>1095</v>
      </c>
      <c r="B1" s="2060"/>
      <c r="C1" s="2060"/>
      <c r="D1" s="2060"/>
      <c r="E1" s="2060"/>
      <c r="F1" s="2060"/>
      <c r="G1" s="2060"/>
      <c r="H1" s="2060"/>
      <c r="I1" s="2060"/>
    </row>
    <row r="2" spans="1:9" ht="9" customHeight="1">
      <c r="A2" s="1922"/>
      <c r="B2" s="1922"/>
      <c r="C2" s="1922"/>
      <c r="D2" s="1922"/>
      <c r="E2" s="1922"/>
      <c r="F2" s="1922"/>
      <c r="G2" s="1922"/>
      <c r="H2" s="1922"/>
      <c r="I2" s="1922"/>
    </row>
    <row r="3" ht="15.75">
      <c r="I3" s="1923" t="s">
        <v>1096</v>
      </c>
    </row>
    <row r="4" spans="1:9" ht="45" customHeight="1">
      <c r="A4" s="2061" t="s">
        <v>708</v>
      </c>
      <c r="B4" s="2061" t="s">
        <v>1097</v>
      </c>
      <c r="C4" s="2061" t="s">
        <v>1098</v>
      </c>
      <c r="D4" s="2063" t="s">
        <v>386</v>
      </c>
      <c r="E4" s="2064"/>
      <c r="F4" s="2064"/>
      <c r="G4" s="2064"/>
      <c r="H4" s="2064"/>
      <c r="I4" s="2065"/>
    </row>
    <row r="5" spans="1:9" ht="23.25" customHeight="1">
      <c r="A5" s="2062"/>
      <c r="B5" s="2062"/>
      <c r="C5" s="2062"/>
      <c r="D5" s="1926">
        <v>2007</v>
      </c>
      <c r="E5" s="1926">
        <v>2008</v>
      </c>
      <c r="F5" s="1926">
        <v>2009</v>
      </c>
      <c r="G5" s="1926">
        <v>2010</v>
      </c>
      <c r="H5" s="1926">
        <v>2011</v>
      </c>
      <c r="I5" s="1926">
        <v>2012</v>
      </c>
    </row>
    <row r="6" spans="1:9" ht="15.75">
      <c r="A6" s="1924">
        <v>1</v>
      </c>
      <c r="B6" s="1924">
        <v>2</v>
      </c>
      <c r="C6" s="1924">
        <v>3</v>
      </c>
      <c r="D6" s="1924">
        <v>4</v>
      </c>
      <c r="E6" s="1924">
        <v>5</v>
      </c>
      <c r="F6" s="1924">
        <v>6</v>
      </c>
      <c r="G6" s="1924">
        <v>7</v>
      </c>
      <c r="H6" s="1924">
        <v>8</v>
      </c>
      <c r="I6" s="1924">
        <v>9</v>
      </c>
    </row>
    <row r="7" spans="1:9" ht="30" customHeight="1">
      <c r="A7" s="1917" t="s">
        <v>682</v>
      </c>
      <c r="B7" s="1918" t="s">
        <v>385</v>
      </c>
      <c r="C7" s="1919">
        <f>C8+C12+C17</f>
        <v>8264485</v>
      </c>
      <c r="D7" s="1919">
        <f aca="true" t="shared" si="0" ref="D7:I7">D8+D12+D17</f>
        <v>9410000</v>
      </c>
      <c r="E7" s="1919">
        <f t="shared" si="0"/>
        <v>6768000</v>
      </c>
      <c r="F7" s="1919">
        <f t="shared" si="0"/>
        <v>4376000</v>
      </c>
      <c r="G7" s="1919">
        <f t="shared" si="0"/>
        <v>1984000</v>
      </c>
      <c r="H7" s="1919">
        <f t="shared" si="0"/>
        <v>992000</v>
      </c>
      <c r="I7" s="1919">
        <f t="shared" si="0"/>
        <v>0</v>
      </c>
    </row>
    <row r="8" spans="1:9" ht="30" customHeight="1">
      <c r="A8" s="1917" t="s">
        <v>1099</v>
      </c>
      <c r="B8" s="1918" t="s">
        <v>1100</v>
      </c>
      <c r="C8" s="1919">
        <f>SUM(C9:C11)</f>
        <v>1623000</v>
      </c>
      <c r="D8" s="1919">
        <f aca="true" t="shared" si="1" ref="D8:I8">SUM(D9:D11)</f>
        <v>4450000</v>
      </c>
      <c r="E8" s="1919">
        <f t="shared" si="1"/>
        <v>6768000</v>
      </c>
      <c r="F8" s="1919">
        <f t="shared" si="1"/>
        <v>4376000</v>
      </c>
      <c r="G8" s="1919">
        <f t="shared" si="1"/>
        <v>1984000</v>
      </c>
      <c r="H8" s="1919">
        <f t="shared" si="1"/>
        <v>992000</v>
      </c>
      <c r="I8" s="1919">
        <f t="shared" si="1"/>
        <v>0</v>
      </c>
    </row>
    <row r="9" spans="1:9" ht="30" customHeight="1">
      <c r="A9" s="1924" t="s">
        <v>1101</v>
      </c>
      <c r="B9" s="1925" t="s">
        <v>1102</v>
      </c>
      <c r="C9" s="1920">
        <f>755000+100000+268000</f>
        <v>1123000</v>
      </c>
      <c r="D9" s="1920">
        <v>0</v>
      </c>
      <c r="E9" s="1920">
        <v>768000</v>
      </c>
      <c r="F9" s="1920">
        <f>E9-192000</f>
        <v>576000</v>
      </c>
      <c r="G9" s="1920">
        <f>F9-192000</f>
        <v>384000</v>
      </c>
      <c r="H9" s="1920">
        <f>G9-192000</f>
        <v>192000</v>
      </c>
      <c r="I9" s="1920">
        <f>H9-192000</f>
        <v>0</v>
      </c>
    </row>
    <row r="10" spans="1:9" ht="30" customHeight="1">
      <c r="A10" s="1924" t="s">
        <v>1103</v>
      </c>
      <c r="B10" s="1925" t="s">
        <v>1104</v>
      </c>
      <c r="C10" s="1920">
        <v>500000</v>
      </c>
      <c r="D10" s="1920">
        <f>250000+4200000</f>
        <v>4450000</v>
      </c>
      <c r="E10" s="1920">
        <v>6000000</v>
      </c>
      <c r="F10" s="1920">
        <f>E10-1400000-800000</f>
        <v>3800000</v>
      </c>
      <c r="G10" s="1920">
        <f>F10-1400000-800000</f>
        <v>1600000</v>
      </c>
      <c r="H10" s="1920">
        <f>G10-800000</f>
        <v>800000</v>
      </c>
      <c r="I10" s="1920">
        <f>H10-800000</f>
        <v>0</v>
      </c>
    </row>
    <row r="11" spans="1:9" ht="30" customHeight="1">
      <c r="A11" s="1924" t="s">
        <v>1105</v>
      </c>
      <c r="B11" s="1925" t="s">
        <v>1106</v>
      </c>
      <c r="C11" s="1920">
        <v>0</v>
      </c>
      <c r="D11" s="1920">
        <v>0</v>
      </c>
      <c r="E11" s="1920">
        <v>0</v>
      </c>
      <c r="F11" s="1920">
        <v>0</v>
      </c>
      <c r="G11" s="1920">
        <v>0</v>
      </c>
      <c r="H11" s="1920">
        <v>0</v>
      </c>
      <c r="I11" s="1920">
        <v>0</v>
      </c>
    </row>
    <row r="12" spans="1:9" ht="30" customHeight="1">
      <c r="A12" s="1917" t="s">
        <v>1107</v>
      </c>
      <c r="B12" s="1918" t="s">
        <v>1108</v>
      </c>
      <c r="C12" s="1919">
        <f>C13+C14+C16</f>
        <v>5600000</v>
      </c>
      <c r="D12" s="1919">
        <f aca="true" t="shared" si="2" ref="D12:I12">D13+D14+D16</f>
        <v>4960000</v>
      </c>
      <c r="E12" s="1919">
        <f t="shared" si="2"/>
        <v>0</v>
      </c>
      <c r="F12" s="1919">
        <f t="shared" si="2"/>
        <v>0</v>
      </c>
      <c r="G12" s="1919">
        <f t="shared" si="2"/>
        <v>0</v>
      </c>
      <c r="H12" s="1919">
        <f t="shared" si="2"/>
        <v>0</v>
      </c>
      <c r="I12" s="1919">
        <f t="shared" si="2"/>
        <v>0</v>
      </c>
    </row>
    <row r="13" spans="1:9" ht="30" customHeight="1">
      <c r="A13" s="1924" t="s">
        <v>1109</v>
      </c>
      <c r="B13" s="1925" t="s">
        <v>1110</v>
      </c>
      <c r="C13" s="1920">
        <v>0</v>
      </c>
      <c r="D13" s="1920">
        <v>960000</v>
      </c>
      <c r="E13" s="1920">
        <v>0</v>
      </c>
      <c r="F13" s="1920">
        <v>0</v>
      </c>
      <c r="G13" s="1920">
        <v>0</v>
      </c>
      <c r="H13" s="1920">
        <v>0</v>
      </c>
      <c r="I13" s="1920">
        <v>0</v>
      </c>
    </row>
    <row r="14" spans="1:9" ht="30" customHeight="1">
      <c r="A14" s="1924" t="s">
        <v>1111</v>
      </c>
      <c r="B14" s="1925" t="s">
        <v>1112</v>
      </c>
      <c r="C14" s="1920">
        <f>5600000</f>
        <v>5600000</v>
      </c>
      <c r="D14" s="1920">
        <v>4000000</v>
      </c>
      <c r="E14" s="1920">
        <v>0</v>
      </c>
      <c r="F14" s="1920">
        <v>0</v>
      </c>
      <c r="G14" s="1920">
        <v>0</v>
      </c>
      <c r="H14" s="1920">
        <v>0</v>
      </c>
      <c r="I14" s="1920">
        <v>0</v>
      </c>
    </row>
    <row r="15" spans="1:9" ht="30" customHeight="1">
      <c r="A15" s="1924"/>
      <c r="B15" s="1925" t="s">
        <v>1113</v>
      </c>
      <c r="C15" s="1920">
        <v>0</v>
      </c>
      <c r="D15" s="1920">
        <v>0</v>
      </c>
      <c r="E15" s="1920">
        <v>0</v>
      </c>
      <c r="F15" s="1920">
        <v>0</v>
      </c>
      <c r="G15" s="1920">
        <v>0</v>
      </c>
      <c r="H15" s="1920">
        <v>0</v>
      </c>
      <c r="I15" s="1920">
        <v>0</v>
      </c>
    </row>
    <row r="16" spans="1:9" ht="30" customHeight="1">
      <c r="A16" s="1924" t="s">
        <v>1114</v>
      </c>
      <c r="B16" s="1925" t="s">
        <v>1115</v>
      </c>
      <c r="C16" s="1920">
        <v>0</v>
      </c>
      <c r="D16" s="1920">
        <v>0</v>
      </c>
      <c r="E16" s="1920">
        <v>0</v>
      </c>
      <c r="F16" s="1920">
        <v>0</v>
      </c>
      <c r="G16" s="1920">
        <v>0</v>
      </c>
      <c r="H16" s="1920">
        <v>0</v>
      </c>
      <c r="I16" s="1920">
        <v>0</v>
      </c>
    </row>
    <row r="17" spans="1:9" ht="30" customHeight="1">
      <c r="A17" s="1917" t="s">
        <v>1116</v>
      </c>
      <c r="B17" s="1918" t="s">
        <v>1117</v>
      </c>
      <c r="C17" s="1919">
        <f>C18+C19</f>
        <v>1041485</v>
      </c>
      <c r="D17" s="1919">
        <f aca="true" t="shared" si="3" ref="D17:I17">D18+D19</f>
        <v>0</v>
      </c>
      <c r="E17" s="1919">
        <f t="shared" si="3"/>
        <v>0</v>
      </c>
      <c r="F17" s="1919">
        <f t="shared" si="3"/>
        <v>0</v>
      </c>
      <c r="G17" s="1919">
        <f t="shared" si="3"/>
        <v>0</v>
      </c>
      <c r="H17" s="1919">
        <f t="shared" si="3"/>
        <v>0</v>
      </c>
      <c r="I17" s="1919">
        <f t="shared" si="3"/>
        <v>0</v>
      </c>
    </row>
    <row r="18" spans="1:9" ht="30" customHeight="1">
      <c r="A18" s="1924" t="s">
        <v>1118</v>
      </c>
      <c r="B18" s="1925" t="s">
        <v>1119</v>
      </c>
      <c r="C18" s="1920">
        <v>1041485</v>
      </c>
      <c r="D18" s="1920">
        <v>0</v>
      </c>
      <c r="E18" s="1920">
        <v>0</v>
      </c>
      <c r="F18" s="1920">
        <v>0</v>
      </c>
      <c r="G18" s="1920">
        <v>0</v>
      </c>
      <c r="H18" s="1920">
        <v>0</v>
      </c>
      <c r="I18" s="1920">
        <v>0</v>
      </c>
    </row>
    <row r="19" spans="1:9" ht="30" customHeight="1">
      <c r="A19" s="1924" t="s">
        <v>1120</v>
      </c>
      <c r="B19" s="1925" t="s">
        <v>1121</v>
      </c>
      <c r="C19" s="1920">
        <v>0</v>
      </c>
      <c r="D19" s="1920">
        <v>0</v>
      </c>
      <c r="E19" s="1920">
        <v>0</v>
      </c>
      <c r="F19" s="1920">
        <v>0</v>
      </c>
      <c r="G19" s="1920">
        <v>0</v>
      </c>
      <c r="H19" s="1920">
        <v>0</v>
      </c>
      <c r="I19" s="1920">
        <v>0</v>
      </c>
    </row>
    <row r="20" spans="1:9" ht="30" customHeight="1">
      <c r="A20" s="1917">
        <v>2</v>
      </c>
      <c r="B20" s="1918" t="s">
        <v>1122</v>
      </c>
      <c r="C20" s="1919">
        <f>C21+C25+C26</f>
        <v>2497244</v>
      </c>
      <c r="D20" s="1919">
        <f aca="true" t="shared" si="4" ref="D20:I20">D21+D25+D26</f>
        <v>4154485</v>
      </c>
      <c r="E20" s="1919">
        <f t="shared" si="4"/>
        <v>2982000</v>
      </c>
      <c r="F20" s="1919">
        <f t="shared" si="4"/>
        <v>2642000</v>
      </c>
      <c r="G20" s="1919">
        <f t="shared" si="4"/>
        <v>2592000</v>
      </c>
      <c r="H20" s="1919">
        <f t="shared" si="4"/>
        <v>1172000</v>
      </c>
      <c r="I20" s="1919">
        <f t="shared" si="4"/>
        <v>1092000</v>
      </c>
    </row>
    <row r="21" spans="1:9" ht="30" customHeight="1">
      <c r="A21" s="1917" t="s">
        <v>1123</v>
      </c>
      <c r="B21" s="1918" t="s">
        <v>1124</v>
      </c>
      <c r="C21" s="1919">
        <f>C22+C23+C24</f>
        <v>1868000</v>
      </c>
      <c r="D21" s="1919">
        <f aca="true" t="shared" si="5" ref="D21:I21">D22+D23+D24</f>
        <v>2773000</v>
      </c>
      <c r="E21" s="1919">
        <f t="shared" si="5"/>
        <v>2642000</v>
      </c>
      <c r="F21" s="1919">
        <f t="shared" si="5"/>
        <v>2392000</v>
      </c>
      <c r="G21" s="1919">
        <f t="shared" si="5"/>
        <v>2392000</v>
      </c>
      <c r="H21" s="1919">
        <f t="shared" si="5"/>
        <v>992000</v>
      </c>
      <c r="I21" s="1919">
        <f t="shared" si="5"/>
        <v>992000</v>
      </c>
    </row>
    <row r="22" spans="1:9" ht="30" customHeight="1">
      <c r="A22" s="1924" t="s">
        <v>1125</v>
      </c>
      <c r="B22" s="1925" t="s">
        <v>1126</v>
      </c>
      <c r="C22" s="1920">
        <f>1868000</f>
        <v>1868000</v>
      </c>
      <c r="D22" s="1920">
        <f>755000+100000+250000+268000+1400000</f>
        <v>2773000</v>
      </c>
      <c r="E22" s="1920">
        <f>250000+1400000+800000+192000</f>
        <v>2642000</v>
      </c>
      <c r="F22" s="1920">
        <f>1400000+800000+192000</f>
        <v>2392000</v>
      </c>
      <c r="G22" s="1920">
        <f>1400000+800000+192000</f>
        <v>2392000</v>
      </c>
      <c r="H22" s="1920">
        <f>192000+800000</f>
        <v>992000</v>
      </c>
      <c r="I22" s="1920">
        <f>192000+800000</f>
        <v>992000</v>
      </c>
    </row>
    <row r="23" spans="1:9" ht="30" customHeight="1">
      <c r="A23" s="1924" t="s">
        <v>1127</v>
      </c>
      <c r="B23" s="1925" t="s">
        <v>1128</v>
      </c>
      <c r="C23" s="1920">
        <v>0</v>
      </c>
      <c r="D23" s="1920">
        <v>0</v>
      </c>
      <c r="E23" s="1920">
        <v>0</v>
      </c>
      <c r="F23" s="1920">
        <v>0</v>
      </c>
      <c r="G23" s="1920">
        <v>0</v>
      </c>
      <c r="H23" s="1920">
        <v>0</v>
      </c>
      <c r="I23" s="1920">
        <v>0</v>
      </c>
    </row>
    <row r="24" spans="1:9" ht="30" customHeight="1">
      <c r="A24" s="1924" t="s">
        <v>1129</v>
      </c>
      <c r="B24" s="1925" t="s">
        <v>1130</v>
      </c>
      <c r="C24" s="1920">
        <v>0</v>
      </c>
      <c r="D24" s="1920">
        <v>0</v>
      </c>
      <c r="E24" s="1920">
        <v>0</v>
      </c>
      <c r="F24" s="1920">
        <v>0</v>
      </c>
      <c r="G24" s="1920">
        <v>0</v>
      </c>
      <c r="H24" s="1920">
        <v>0</v>
      </c>
      <c r="I24" s="1920">
        <v>0</v>
      </c>
    </row>
    <row r="25" spans="1:9" ht="30" customHeight="1">
      <c r="A25" s="1917" t="s">
        <v>1131</v>
      </c>
      <c r="B25" s="1918" t="s">
        <v>1132</v>
      </c>
      <c r="C25" s="1919">
        <v>425214</v>
      </c>
      <c r="D25" s="1919">
        <v>1041485</v>
      </c>
      <c r="E25" s="1919">
        <v>0</v>
      </c>
      <c r="F25" s="1919">
        <v>0</v>
      </c>
      <c r="G25" s="1919">
        <v>0</v>
      </c>
      <c r="H25" s="1919">
        <v>0</v>
      </c>
      <c r="I25" s="1919">
        <v>0</v>
      </c>
    </row>
    <row r="26" spans="1:9" s="1922" customFormat="1" ht="30" customHeight="1">
      <c r="A26" s="1917" t="s">
        <v>1133</v>
      </c>
      <c r="B26" s="1918" t="s">
        <v>1134</v>
      </c>
      <c r="C26" s="1919">
        <f>204030</f>
        <v>204030</v>
      </c>
      <c r="D26" s="1919">
        <f>340000</f>
        <v>340000</v>
      </c>
      <c r="E26" s="1919">
        <v>340000</v>
      </c>
      <c r="F26" s="1919">
        <v>250000</v>
      </c>
      <c r="G26" s="1919">
        <v>200000</v>
      </c>
      <c r="H26" s="1919">
        <v>180000</v>
      </c>
      <c r="I26" s="1919">
        <v>100000</v>
      </c>
    </row>
    <row r="27" spans="1:9" ht="30" customHeight="1">
      <c r="A27" s="1917" t="s">
        <v>701</v>
      </c>
      <c r="B27" s="1918" t="s">
        <v>1135</v>
      </c>
      <c r="C27" s="1928">
        <v>42651730</v>
      </c>
      <c r="D27" s="1928">
        <v>46205812</v>
      </c>
      <c r="E27" s="1928">
        <v>47591986</v>
      </c>
      <c r="F27" s="1928">
        <v>48305866</v>
      </c>
      <c r="G27" s="1928">
        <v>49030454</v>
      </c>
      <c r="H27" s="1928">
        <v>49520760</v>
      </c>
      <c r="I27" s="1928">
        <v>50015900</v>
      </c>
    </row>
    <row r="28" spans="1:9" ht="30" customHeight="1">
      <c r="A28" s="1917" t="s">
        <v>702</v>
      </c>
      <c r="B28" s="1918" t="s">
        <v>1136</v>
      </c>
      <c r="C28" s="1928">
        <v>49393264</v>
      </c>
      <c r="D28" s="1928">
        <v>47351327</v>
      </c>
      <c r="E28" s="1928">
        <f>E27-E21</f>
        <v>44949986</v>
      </c>
      <c r="F28" s="1928">
        <f>F27-F21</f>
        <v>45913866</v>
      </c>
      <c r="G28" s="1928">
        <f>G27-G21</f>
        <v>46638454</v>
      </c>
      <c r="H28" s="1928">
        <f>H27-H21</f>
        <v>48528760</v>
      </c>
      <c r="I28" s="1928">
        <f>I27-I21</f>
        <v>49023900</v>
      </c>
    </row>
    <row r="29" spans="1:9" ht="30" customHeight="1">
      <c r="A29" s="1917" t="s">
        <v>703</v>
      </c>
      <c r="B29" s="1918" t="s">
        <v>1137</v>
      </c>
      <c r="C29" s="1919">
        <f>C27-C28</f>
        <v>-6741534</v>
      </c>
      <c r="D29" s="1919">
        <f aca="true" t="shared" si="6" ref="D29:I29">D27-D28</f>
        <v>-1145515</v>
      </c>
      <c r="E29" s="1919">
        <f t="shared" si="6"/>
        <v>2642000</v>
      </c>
      <c r="F29" s="1919">
        <f t="shared" si="6"/>
        <v>2392000</v>
      </c>
      <c r="G29" s="1919">
        <f t="shared" si="6"/>
        <v>2392000</v>
      </c>
      <c r="H29" s="1919">
        <f t="shared" si="6"/>
        <v>992000</v>
      </c>
      <c r="I29" s="1919">
        <f t="shared" si="6"/>
        <v>992000</v>
      </c>
    </row>
    <row r="30" spans="1:9" ht="30" customHeight="1">
      <c r="A30" s="1917" t="s">
        <v>704</v>
      </c>
      <c r="B30" s="1918" t="s">
        <v>1138</v>
      </c>
      <c r="C30" s="1920"/>
      <c r="D30" s="1920"/>
      <c r="E30" s="1920"/>
      <c r="F30" s="1920"/>
      <c r="G30" s="1920"/>
      <c r="H30" s="1920"/>
      <c r="I30" s="1920"/>
    </row>
    <row r="31" spans="1:9" ht="30" customHeight="1">
      <c r="A31" s="1917" t="s">
        <v>1139</v>
      </c>
      <c r="B31" s="1918" t="s">
        <v>389</v>
      </c>
      <c r="C31" s="1927">
        <f>C7/C27</f>
        <v>0.19376670067075827</v>
      </c>
      <c r="D31" s="1927">
        <f aca="true" t="shared" si="7" ref="D31:I31">D7/D27</f>
        <v>0.20365403382587455</v>
      </c>
      <c r="E31" s="1927">
        <f t="shared" si="7"/>
        <v>0.14220881641711694</v>
      </c>
      <c r="F31" s="1927">
        <f t="shared" si="7"/>
        <v>0.09058941206022474</v>
      </c>
      <c r="G31" s="1927">
        <f t="shared" si="7"/>
        <v>0.04046464672752163</v>
      </c>
      <c r="H31" s="1927">
        <f t="shared" si="7"/>
        <v>0.02003200273986102</v>
      </c>
      <c r="I31" s="1927">
        <f t="shared" si="7"/>
        <v>0</v>
      </c>
    </row>
    <row r="32" spans="1:9" ht="39" customHeight="1">
      <c r="A32" s="1917" t="s">
        <v>1140</v>
      </c>
      <c r="B32" s="1918" t="s">
        <v>390</v>
      </c>
      <c r="C32" s="1927">
        <f>(C8+C12)/C27</f>
        <v>0.16934834765201787</v>
      </c>
      <c r="D32" s="1927">
        <f aca="true" t="shared" si="8" ref="D32:I32">(D8+D12)/D27</f>
        <v>0.20365403382587455</v>
      </c>
      <c r="E32" s="1927">
        <f t="shared" si="8"/>
        <v>0.14220881641711694</v>
      </c>
      <c r="F32" s="1927">
        <f t="shared" si="8"/>
        <v>0.09058941206022474</v>
      </c>
      <c r="G32" s="1927">
        <f t="shared" si="8"/>
        <v>0.04046464672752163</v>
      </c>
      <c r="H32" s="1927">
        <f t="shared" si="8"/>
        <v>0.02003200273986102</v>
      </c>
      <c r="I32" s="1927">
        <f t="shared" si="8"/>
        <v>0</v>
      </c>
    </row>
    <row r="33" spans="1:9" ht="30" customHeight="1">
      <c r="A33" s="1917" t="s">
        <v>1141</v>
      </c>
      <c r="B33" s="1918" t="s">
        <v>391</v>
      </c>
      <c r="C33" s="1927">
        <f>C20/C27</f>
        <v>0.05854965320281264</v>
      </c>
      <c r="D33" s="1927">
        <f aca="true" t="shared" si="9" ref="D33:I33">D20/D27</f>
        <v>0.08991260666515286</v>
      </c>
      <c r="E33" s="1927">
        <f t="shared" si="9"/>
        <v>0.06265760794264816</v>
      </c>
      <c r="F33" s="1927">
        <f t="shared" si="9"/>
        <v>0.05469315051716493</v>
      </c>
      <c r="G33" s="1927">
        <f t="shared" si="9"/>
        <v>0.052865102982729874</v>
      </c>
      <c r="H33" s="1927">
        <f t="shared" si="9"/>
        <v>0.02366684194669064</v>
      </c>
      <c r="I33" s="1927">
        <f t="shared" si="9"/>
        <v>0.021833057087846063</v>
      </c>
    </row>
    <row r="34" spans="1:9" ht="37.5" customHeight="1">
      <c r="A34" s="1917" t="s">
        <v>1142</v>
      </c>
      <c r="B34" s="1918" t="s">
        <v>392</v>
      </c>
      <c r="C34" s="1927">
        <f>(C21+C26)/C27</f>
        <v>0.04858020999382674</v>
      </c>
      <c r="D34" s="1927">
        <f aca="true" t="shared" si="10" ref="D34:I34">(D21+D26)/D27</f>
        <v>0.06737247686503162</v>
      </c>
      <c r="E34" s="1927">
        <f t="shared" si="10"/>
        <v>0.06265760794264816</v>
      </c>
      <c r="F34" s="1927">
        <f t="shared" si="10"/>
        <v>0.05469315051716493</v>
      </c>
      <c r="G34" s="1927">
        <f t="shared" si="10"/>
        <v>0.052865102982729874</v>
      </c>
      <c r="H34" s="1927">
        <f t="shared" si="10"/>
        <v>0.02366684194669064</v>
      </c>
      <c r="I34" s="1927">
        <f t="shared" si="10"/>
        <v>0.021833057087846063</v>
      </c>
    </row>
    <row r="36" ht="15.75">
      <c r="A36" s="1921" t="s">
        <v>387</v>
      </c>
    </row>
    <row r="37" ht="15.75">
      <c r="A37" s="1921" t="s">
        <v>388</v>
      </c>
    </row>
  </sheetData>
  <mergeCells count="5">
    <mergeCell ref="A1:I1"/>
    <mergeCell ref="C4:C5"/>
    <mergeCell ref="D4:I4"/>
    <mergeCell ref="A4:A5"/>
    <mergeCell ref="B4:B5"/>
  </mergeCells>
  <printOptions horizontalCentered="1"/>
  <pageMargins left="0.5905511811023623" right="0.5905511811023623" top="0.5905511811023623" bottom="0.5905511811023623" header="0.5118110236220472" footer="0.31496062992125984"/>
  <pageSetup fitToHeight="2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401"/>
  <sheetViews>
    <sheetView defaultGridColor="0" zoomScale="80" zoomScaleNormal="80" colorId="22" workbookViewId="0" topLeftCell="A1">
      <pane xSplit="5" ySplit="2" topLeftCell="F40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624" sqref="F624"/>
    </sheetView>
  </sheetViews>
  <sheetFormatPr defaultColWidth="12.625" defaultRowHeight="12.75"/>
  <cols>
    <col min="1" max="1" width="5.625" style="1643" customWidth="1"/>
    <col min="2" max="2" width="9.75390625" style="1638" customWidth="1"/>
    <col min="3" max="3" width="2.25390625" style="1638" customWidth="1"/>
    <col min="4" max="4" width="4.25390625" style="1644" customWidth="1"/>
    <col min="5" max="5" width="59.625" style="1719" customWidth="1"/>
    <col min="6" max="11" width="28.75390625" style="1646" customWidth="1"/>
    <col min="12" max="12" width="28.75390625" style="1641" customWidth="1"/>
    <col min="13" max="13" width="28.75390625" style="1647" customWidth="1"/>
    <col min="14" max="16384" width="12.625" style="1582" customWidth="1"/>
  </cols>
  <sheetData>
    <row r="1" spans="1:13" ht="27.75" customHeight="1">
      <c r="A1" s="1966" t="s">
        <v>708</v>
      </c>
      <c r="B1" s="1578" t="s">
        <v>707</v>
      </c>
      <c r="C1" s="1579"/>
      <c r="D1" s="1580"/>
      <c r="E1" s="1964" t="s">
        <v>710</v>
      </c>
      <c r="F1" s="1986" t="s">
        <v>475</v>
      </c>
      <c r="G1" s="1987"/>
      <c r="H1" s="1987"/>
      <c r="I1" s="1987"/>
      <c r="J1" s="1987"/>
      <c r="K1" s="1987"/>
      <c r="L1" s="1987"/>
      <c r="M1" s="1581"/>
    </row>
    <row r="2" spans="1:13" ht="81.75" customHeight="1">
      <c r="A2" s="1967"/>
      <c r="B2" s="1583" t="s">
        <v>709</v>
      </c>
      <c r="C2" s="1584"/>
      <c r="D2" s="1585"/>
      <c r="E2" s="1965"/>
      <c r="F2" s="1720" t="s">
        <v>712</v>
      </c>
      <c r="G2" s="1720" t="s">
        <v>713</v>
      </c>
      <c r="H2" s="1720" t="s">
        <v>519</v>
      </c>
      <c r="I2" s="1720" t="s">
        <v>520</v>
      </c>
      <c r="J2" s="1721" t="s">
        <v>715</v>
      </c>
      <c r="K2" s="1721" t="s">
        <v>518</v>
      </c>
      <c r="L2" s="1721" t="s">
        <v>521</v>
      </c>
      <c r="M2" s="1586" t="s">
        <v>711</v>
      </c>
    </row>
    <row r="3" spans="1:13" ht="34.5" customHeight="1">
      <c r="A3" s="1587">
        <v>1</v>
      </c>
      <c r="B3" s="1588" t="s">
        <v>524</v>
      </c>
      <c r="C3" s="1589"/>
      <c r="D3" s="1590"/>
      <c r="E3" s="1591" t="s">
        <v>525</v>
      </c>
      <c r="F3" s="1592">
        <f aca="true" t="shared" si="0" ref="F3:L3">F4</f>
        <v>0</v>
      </c>
      <c r="G3" s="1592">
        <f t="shared" si="0"/>
        <v>0</v>
      </c>
      <c r="H3" s="1592">
        <f t="shared" si="0"/>
        <v>0</v>
      </c>
      <c r="I3" s="1592">
        <f t="shared" si="0"/>
        <v>0</v>
      </c>
      <c r="J3" s="1592">
        <f t="shared" si="0"/>
        <v>0</v>
      </c>
      <c r="K3" s="1592">
        <f t="shared" si="0"/>
        <v>0</v>
      </c>
      <c r="L3" s="1592">
        <f t="shared" si="0"/>
        <v>12000</v>
      </c>
      <c r="M3" s="1592">
        <f>SUM(F3:L3)</f>
        <v>12000</v>
      </c>
    </row>
    <row r="4" spans="1:13" ht="34.5" customHeight="1">
      <c r="A4" s="1593"/>
      <c r="B4" s="1594" t="s">
        <v>527</v>
      </c>
      <c r="C4" s="1595"/>
      <c r="D4" s="1596"/>
      <c r="E4" s="1597" t="s">
        <v>528</v>
      </c>
      <c r="F4" s="1598">
        <f aca="true" t="shared" si="1" ref="F4:L4">F5+F11</f>
        <v>0</v>
      </c>
      <c r="G4" s="1598">
        <f t="shared" si="1"/>
        <v>0</v>
      </c>
      <c r="H4" s="1598">
        <f>H5+H11</f>
        <v>0</v>
      </c>
      <c r="I4" s="1598">
        <f>I5+I11</f>
        <v>0</v>
      </c>
      <c r="J4" s="1598">
        <f>J5+J11</f>
        <v>0</v>
      </c>
      <c r="K4" s="1598">
        <f>K5+K11</f>
        <v>0</v>
      </c>
      <c r="L4" s="1598">
        <f t="shared" si="1"/>
        <v>12000</v>
      </c>
      <c r="M4" s="1598">
        <f>SUM(F4:L4)</f>
        <v>12000</v>
      </c>
    </row>
    <row r="5" spans="1:13" ht="22.5" customHeight="1">
      <c r="A5" s="1593"/>
      <c r="B5" s="1599"/>
      <c r="C5" s="1600" t="s">
        <v>602</v>
      </c>
      <c r="D5" s="1601"/>
      <c r="E5" s="1315" t="s">
        <v>1030</v>
      </c>
      <c r="F5" s="1316"/>
      <c r="G5" s="1316"/>
      <c r="H5" s="1316"/>
      <c r="I5" s="1316"/>
      <c r="J5" s="1316"/>
      <c r="K5" s="1316"/>
      <c r="L5" s="1316">
        <v>12000</v>
      </c>
      <c r="M5" s="1502">
        <f>F5+G5+H5+I5+J5+K5+L5</f>
        <v>12000</v>
      </c>
    </row>
    <row r="6" spans="1:13" ht="20.25" customHeight="1">
      <c r="A6" s="1593"/>
      <c r="B6" s="1599"/>
      <c r="C6" s="1600"/>
      <c r="D6" s="1602"/>
      <c r="E6" s="1603" t="s">
        <v>706</v>
      </c>
      <c r="F6" s="1502"/>
      <c r="G6" s="1502"/>
      <c r="H6" s="1502"/>
      <c r="I6" s="1502"/>
      <c r="J6" s="1502"/>
      <c r="K6" s="1502"/>
      <c r="L6" s="1502"/>
      <c r="M6" s="1502"/>
    </row>
    <row r="7" spans="1:13" ht="21.75" customHeight="1">
      <c r="A7" s="1593"/>
      <c r="B7" s="1599"/>
      <c r="C7" s="1600"/>
      <c r="D7" s="1602">
        <v>1</v>
      </c>
      <c r="E7" s="1604" t="s">
        <v>1031</v>
      </c>
      <c r="F7" s="1502"/>
      <c r="G7" s="1502"/>
      <c r="H7" s="1502"/>
      <c r="I7" s="1502"/>
      <c r="J7" s="1502"/>
      <c r="K7" s="1502"/>
      <c r="L7" s="1502">
        <v>0</v>
      </c>
      <c r="M7" s="1502">
        <f>F7+G7+H7+I7+J7+K7+L7</f>
        <v>0</v>
      </c>
    </row>
    <row r="8" spans="1:13" ht="21.75" customHeight="1">
      <c r="A8" s="1593"/>
      <c r="B8" s="1599"/>
      <c r="C8" s="1600"/>
      <c r="D8" s="1602">
        <v>2</v>
      </c>
      <c r="E8" s="1320" t="s">
        <v>1032</v>
      </c>
      <c r="F8" s="1502"/>
      <c r="G8" s="1502"/>
      <c r="H8" s="1502"/>
      <c r="I8" s="1502"/>
      <c r="J8" s="1502"/>
      <c r="K8" s="1502"/>
      <c r="L8" s="1502">
        <v>12000</v>
      </c>
      <c r="M8" s="1502">
        <f>F8+G8+H8+I8+J8+K8+L8</f>
        <v>12000</v>
      </c>
    </row>
    <row r="9" spans="1:13" ht="21.75" customHeight="1">
      <c r="A9" s="1593"/>
      <c r="B9" s="1599"/>
      <c r="C9" s="1600"/>
      <c r="D9" s="1602">
        <v>3</v>
      </c>
      <c r="E9" s="1320" t="s">
        <v>1033</v>
      </c>
      <c r="F9" s="1502"/>
      <c r="G9" s="1502"/>
      <c r="H9" s="1502"/>
      <c r="I9" s="1502"/>
      <c r="J9" s="1502"/>
      <c r="K9" s="1502"/>
      <c r="L9" s="1502">
        <v>0</v>
      </c>
      <c r="M9" s="1502">
        <f>F9+G9+H9+I9+J9+K9+L9</f>
        <v>0</v>
      </c>
    </row>
    <row r="10" spans="1:13" ht="21.75" customHeight="1">
      <c r="A10" s="1593"/>
      <c r="B10" s="1599"/>
      <c r="C10" s="1600"/>
      <c r="D10" s="1602">
        <v>4</v>
      </c>
      <c r="E10" s="1320" t="s">
        <v>1034</v>
      </c>
      <c r="F10" s="1502"/>
      <c r="G10" s="1502"/>
      <c r="H10" s="1502"/>
      <c r="I10" s="1502"/>
      <c r="J10" s="1502"/>
      <c r="K10" s="1502"/>
      <c r="L10" s="1502">
        <v>0</v>
      </c>
      <c r="M10" s="1502">
        <f>F10+G10+H10+I10+J10+K10+L10</f>
        <v>0</v>
      </c>
    </row>
    <row r="11" spans="1:13" ht="21.75" customHeight="1">
      <c r="A11" s="1593"/>
      <c r="B11" s="1599"/>
      <c r="C11" s="1605" t="s">
        <v>121</v>
      </c>
      <c r="D11" s="1601"/>
      <c r="E11" s="1315" t="s">
        <v>1035</v>
      </c>
      <c r="F11" s="1316"/>
      <c r="G11" s="1316"/>
      <c r="H11" s="1316"/>
      <c r="I11" s="1316"/>
      <c r="J11" s="1316"/>
      <c r="K11" s="1316"/>
      <c r="L11" s="1316">
        <f>SUM(L13:L13)</f>
        <v>0</v>
      </c>
      <c r="M11" s="1316">
        <f>F11+G11+H11+I11+J11+K11+L11</f>
        <v>0</v>
      </c>
    </row>
    <row r="12" spans="1:13" ht="20.25" customHeight="1">
      <c r="A12" s="1593"/>
      <c r="B12" s="1599"/>
      <c r="C12" s="1600"/>
      <c r="D12" s="1602"/>
      <c r="E12" s="1603" t="s">
        <v>706</v>
      </c>
      <c r="F12" s="1502"/>
      <c r="G12" s="1502"/>
      <c r="H12" s="1502"/>
      <c r="I12" s="1502"/>
      <c r="J12" s="1502"/>
      <c r="K12" s="1502"/>
      <c r="L12" s="1502"/>
      <c r="M12" s="1502"/>
    </row>
    <row r="13" spans="1:13" ht="38.25" customHeight="1">
      <c r="A13" s="1593"/>
      <c r="B13" s="1599"/>
      <c r="C13" s="1600"/>
      <c r="D13" s="1602">
        <v>1</v>
      </c>
      <c r="E13" s="1320" t="s">
        <v>1036</v>
      </c>
      <c r="F13" s="1502"/>
      <c r="G13" s="1502"/>
      <c r="H13" s="1502"/>
      <c r="I13" s="1502"/>
      <c r="J13" s="1502"/>
      <c r="K13" s="1502"/>
      <c r="L13" s="1502">
        <v>0</v>
      </c>
      <c r="M13" s="1502">
        <f>SUM(F13:L13)</f>
        <v>0</v>
      </c>
    </row>
    <row r="14" spans="1:13" ht="62.25" customHeight="1">
      <c r="A14" s="1961">
        <v>2</v>
      </c>
      <c r="B14" s="1588">
        <v>400</v>
      </c>
      <c r="C14" s="1589"/>
      <c r="D14" s="1589"/>
      <c r="E14" s="1606" t="s">
        <v>631</v>
      </c>
      <c r="F14" s="1592">
        <f aca="true" t="shared" si="2" ref="F14:K14">F15</f>
        <v>0</v>
      </c>
      <c r="G14" s="1592">
        <f t="shared" si="2"/>
        <v>0</v>
      </c>
      <c r="H14" s="1592">
        <f t="shared" si="2"/>
        <v>0</v>
      </c>
      <c r="I14" s="1592">
        <f t="shared" si="2"/>
        <v>0</v>
      </c>
      <c r="J14" s="1592">
        <f t="shared" si="2"/>
        <v>0</v>
      </c>
      <c r="K14" s="1592">
        <f t="shared" si="2"/>
        <v>0</v>
      </c>
      <c r="L14" s="1592">
        <f>L15</f>
        <v>5000</v>
      </c>
      <c r="M14" s="1592">
        <f>SUM(F14:L14)</f>
        <v>5000</v>
      </c>
    </row>
    <row r="15" spans="1:13" ht="34.5" customHeight="1">
      <c r="A15" s="1593"/>
      <c r="B15" s="1594">
        <v>40095</v>
      </c>
      <c r="C15" s="1595"/>
      <c r="D15" s="1596"/>
      <c r="E15" s="1597" t="s">
        <v>24</v>
      </c>
      <c r="F15" s="1598">
        <f aca="true" t="shared" si="3" ref="F15:K15">F16+F22</f>
        <v>0</v>
      </c>
      <c r="G15" s="1598">
        <f t="shared" si="3"/>
        <v>0</v>
      </c>
      <c r="H15" s="1598">
        <f t="shared" si="3"/>
        <v>0</v>
      </c>
      <c r="I15" s="1598">
        <f t="shared" si="3"/>
        <v>0</v>
      </c>
      <c r="J15" s="1598">
        <f t="shared" si="3"/>
        <v>0</v>
      </c>
      <c r="K15" s="1598">
        <f t="shared" si="3"/>
        <v>0</v>
      </c>
      <c r="L15" s="1598">
        <f>L16+L22</f>
        <v>5000</v>
      </c>
      <c r="M15" s="1598">
        <f>SUM(F15:L15)</f>
        <v>5000</v>
      </c>
    </row>
    <row r="16" spans="1:13" ht="22.5" customHeight="1">
      <c r="A16" s="1593"/>
      <c r="B16" s="1599"/>
      <c r="C16" s="1600" t="s">
        <v>602</v>
      </c>
      <c r="D16" s="1601"/>
      <c r="E16" s="1315" t="s">
        <v>1030</v>
      </c>
      <c r="F16" s="1316"/>
      <c r="G16" s="1316"/>
      <c r="H16" s="1316"/>
      <c r="I16" s="1316"/>
      <c r="J16" s="1316"/>
      <c r="K16" s="1316"/>
      <c r="L16" s="1316">
        <v>0</v>
      </c>
      <c r="M16" s="1502">
        <f>F16+G16+H16+I16+J16+K16+L16</f>
        <v>0</v>
      </c>
    </row>
    <row r="17" spans="1:13" ht="20.25" customHeight="1">
      <c r="A17" s="1593"/>
      <c r="B17" s="1599"/>
      <c r="C17" s="1600"/>
      <c r="D17" s="1602"/>
      <c r="E17" s="1603" t="s">
        <v>706</v>
      </c>
      <c r="F17" s="1502"/>
      <c r="G17" s="1502"/>
      <c r="H17" s="1502"/>
      <c r="I17" s="1502"/>
      <c r="J17" s="1502"/>
      <c r="K17" s="1502"/>
      <c r="L17" s="1502"/>
      <c r="M17" s="1502"/>
    </row>
    <row r="18" spans="1:13" ht="21.75" customHeight="1">
      <c r="A18" s="1593"/>
      <c r="B18" s="1599"/>
      <c r="C18" s="1600"/>
      <c r="D18" s="1602">
        <v>1</v>
      </c>
      <c r="E18" s="1604" t="s">
        <v>1031</v>
      </c>
      <c r="F18" s="1502"/>
      <c r="G18" s="1502"/>
      <c r="H18" s="1502"/>
      <c r="I18" s="1502"/>
      <c r="J18" s="1502"/>
      <c r="K18" s="1502"/>
      <c r="L18" s="1502">
        <v>0</v>
      </c>
      <c r="M18" s="1502">
        <f>F18+G18+H18+I18+J18+K18+L18</f>
        <v>0</v>
      </c>
    </row>
    <row r="19" spans="1:13" ht="21.75" customHeight="1">
      <c r="A19" s="1593"/>
      <c r="B19" s="1599"/>
      <c r="C19" s="1600"/>
      <c r="D19" s="1602">
        <v>2</v>
      </c>
      <c r="E19" s="1320" t="s">
        <v>1032</v>
      </c>
      <c r="F19" s="1502"/>
      <c r="G19" s="1502"/>
      <c r="H19" s="1502"/>
      <c r="I19" s="1502"/>
      <c r="J19" s="1502"/>
      <c r="K19" s="1502"/>
      <c r="L19" s="1502">
        <v>0</v>
      </c>
      <c r="M19" s="1502">
        <f>F19+G19+H19+I19+J19+K19+L19</f>
        <v>0</v>
      </c>
    </row>
    <row r="20" spans="1:13" ht="21.75" customHeight="1">
      <c r="A20" s="1593"/>
      <c r="B20" s="1599"/>
      <c r="C20" s="1600"/>
      <c r="D20" s="1602">
        <v>3</v>
      </c>
      <c r="E20" s="1320" t="s">
        <v>1033</v>
      </c>
      <c r="F20" s="1502"/>
      <c r="G20" s="1502"/>
      <c r="H20" s="1502"/>
      <c r="I20" s="1502"/>
      <c r="J20" s="1502"/>
      <c r="K20" s="1502"/>
      <c r="L20" s="1502">
        <v>0</v>
      </c>
      <c r="M20" s="1502">
        <f>F20+G20+H20+I20+J20+K20+L20</f>
        <v>0</v>
      </c>
    </row>
    <row r="21" spans="1:13" ht="21.75" customHeight="1">
      <c r="A21" s="1593"/>
      <c r="B21" s="1599"/>
      <c r="C21" s="1600"/>
      <c r="D21" s="1602">
        <v>4</v>
      </c>
      <c r="E21" s="1320" t="s">
        <v>1034</v>
      </c>
      <c r="F21" s="1502"/>
      <c r="G21" s="1502"/>
      <c r="H21" s="1502"/>
      <c r="I21" s="1502"/>
      <c r="J21" s="1502"/>
      <c r="K21" s="1502"/>
      <c r="L21" s="1502">
        <v>0</v>
      </c>
      <c r="M21" s="1502">
        <f>F21+G21+H21+I21+J21+K21+L21</f>
        <v>0</v>
      </c>
    </row>
    <row r="22" spans="1:13" ht="21.75" customHeight="1">
      <c r="A22" s="1593"/>
      <c r="B22" s="1599"/>
      <c r="C22" s="1605" t="s">
        <v>121</v>
      </c>
      <c r="D22" s="1601"/>
      <c r="E22" s="1315" t="s">
        <v>1035</v>
      </c>
      <c r="F22" s="1316"/>
      <c r="G22" s="1316"/>
      <c r="H22" s="1316"/>
      <c r="I22" s="1316"/>
      <c r="J22" s="1316"/>
      <c r="K22" s="1316"/>
      <c r="L22" s="1316">
        <f>SUM(L24:L24)</f>
        <v>5000</v>
      </c>
      <c r="M22" s="1316">
        <f>F22+G22+H22+I22+J22+K22+L22</f>
        <v>5000</v>
      </c>
    </row>
    <row r="23" spans="1:13" ht="20.25" customHeight="1">
      <c r="A23" s="1593"/>
      <c r="B23" s="1599"/>
      <c r="C23" s="1600"/>
      <c r="D23" s="1602"/>
      <c r="E23" s="1603" t="s">
        <v>706</v>
      </c>
      <c r="F23" s="1502"/>
      <c r="G23" s="1502"/>
      <c r="H23" s="1502"/>
      <c r="I23" s="1502"/>
      <c r="J23" s="1502"/>
      <c r="K23" s="1502"/>
      <c r="L23" s="1502"/>
      <c r="M23" s="1502"/>
    </row>
    <row r="24" spans="1:13" ht="38.25" customHeight="1">
      <c r="A24" s="1593"/>
      <c r="B24" s="1599"/>
      <c r="C24" s="1600"/>
      <c r="D24" s="1602">
        <v>1</v>
      </c>
      <c r="E24" s="1320" t="s">
        <v>1036</v>
      </c>
      <c r="F24" s="1502"/>
      <c r="G24" s="1502"/>
      <c r="H24" s="1502"/>
      <c r="I24" s="1502"/>
      <c r="J24" s="1502"/>
      <c r="K24" s="1502"/>
      <c r="L24" s="1502">
        <v>5000</v>
      </c>
      <c r="M24" s="1502">
        <f>SUM(F24:L24)</f>
        <v>5000</v>
      </c>
    </row>
    <row r="25" spans="1:13" ht="34.5" customHeight="1">
      <c r="A25" s="1607">
        <v>3</v>
      </c>
      <c r="B25" s="1607">
        <v>600</v>
      </c>
      <c r="C25" s="1606"/>
      <c r="D25" s="1608"/>
      <c r="E25" s="1608" t="s">
        <v>25</v>
      </c>
      <c r="F25" s="1609">
        <f aca="true" t="shared" si="4" ref="F25:L25">+F26</f>
        <v>0</v>
      </c>
      <c r="G25" s="1609">
        <f t="shared" si="4"/>
        <v>0</v>
      </c>
      <c r="H25" s="1609">
        <f t="shared" si="4"/>
        <v>0</v>
      </c>
      <c r="I25" s="1609">
        <f t="shared" si="4"/>
        <v>0</v>
      </c>
      <c r="J25" s="1609">
        <f t="shared" si="4"/>
        <v>0</v>
      </c>
      <c r="K25" s="1609">
        <f t="shared" si="4"/>
        <v>0</v>
      </c>
      <c r="L25" s="1609">
        <f t="shared" si="4"/>
        <v>3282176</v>
      </c>
      <c r="M25" s="1592">
        <f>SUM(F25:L25)</f>
        <v>3282176</v>
      </c>
    </row>
    <row r="26" spans="1:13" ht="34.5" customHeight="1">
      <c r="A26" s="1610"/>
      <c r="B26" s="1594" t="s">
        <v>1037</v>
      </c>
      <c r="C26" s="1595"/>
      <c r="D26" s="1596"/>
      <c r="E26" s="1597" t="s">
        <v>26</v>
      </c>
      <c r="F26" s="1598">
        <f aca="true" t="shared" si="5" ref="F26:L26">F27+F33</f>
        <v>0</v>
      </c>
      <c r="G26" s="1598">
        <f t="shared" si="5"/>
        <v>0</v>
      </c>
      <c r="H26" s="1598">
        <f t="shared" si="5"/>
        <v>0</v>
      </c>
      <c r="I26" s="1598">
        <f t="shared" si="5"/>
        <v>0</v>
      </c>
      <c r="J26" s="1598">
        <f t="shared" si="5"/>
        <v>0</v>
      </c>
      <c r="K26" s="1598">
        <f t="shared" si="5"/>
        <v>0</v>
      </c>
      <c r="L26" s="1598">
        <f t="shared" si="5"/>
        <v>3282176</v>
      </c>
      <c r="M26" s="1598">
        <f>SUM(F26:L26)</f>
        <v>3282176</v>
      </c>
    </row>
    <row r="27" spans="1:13" ht="22.5" customHeight="1">
      <c r="A27" s="1593"/>
      <c r="B27" s="1599"/>
      <c r="C27" s="1600" t="s">
        <v>602</v>
      </c>
      <c r="D27" s="1601"/>
      <c r="E27" s="1315" t="s">
        <v>1030</v>
      </c>
      <c r="F27" s="1316"/>
      <c r="G27" s="1316"/>
      <c r="H27" s="1316"/>
      <c r="I27" s="1316"/>
      <c r="J27" s="1316"/>
      <c r="K27" s="1316"/>
      <c r="L27" s="1316">
        <f>240000+150000+200000+50000+25000+15000+6000+100000+30000+5000</f>
        <v>821000</v>
      </c>
      <c r="M27" s="1502">
        <f>F27+G27+H27+I27+J27+K27+L27</f>
        <v>821000</v>
      </c>
    </row>
    <row r="28" spans="1:13" ht="18" customHeight="1">
      <c r="A28" s="1593"/>
      <c r="B28" s="1599"/>
      <c r="C28" s="1600"/>
      <c r="D28" s="1602"/>
      <c r="E28" s="1603" t="s">
        <v>706</v>
      </c>
      <c r="F28" s="1502"/>
      <c r="G28" s="1502"/>
      <c r="H28" s="1502"/>
      <c r="I28" s="1502"/>
      <c r="J28" s="1502"/>
      <c r="K28" s="1502"/>
      <c r="L28" s="1502"/>
      <c r="M28" s="1502"/>
    </row>
    <row r="29" spans="1:13" ht="22.5" customHeight="1">
      <c r="A29" s="1593"/>
      <c r="B29" s="1599"/>
      <c r="C29" s="1600"/>
      <c r="D29" s="1602">
        <v>1</v>
      </c>
      <c r="E29" s="1604" t="s">
        <v>1031</v>
      </c>
      <c r="F29" s="1502"/>
      <c r="G29" s="1502"/>
      <c r="H29" s="1502"/>
      <c r="I29" s="1502"/>
      <c r="J29" s="1502"/>
      <c r="K29" s="1502"/>
      <c r="L29" s="1502">
        <v>0</v>
      </c>
      <c r="M29" s="1502">
        <f>F29+G29+H29+I29+J29+K29+L29</f>
        <v>0</v>
      </c>
    </row>
    <row r="30" spans="1:13" ht="22.5" customHeight="1">
      <c r="A30" s="1593"/>
      <c r="B30" s="1599"/>
      <c r="C30" s="1600"/>
      <c r="D30" s="1602">
        <v>2</v>
      </c>
      <c r="E30" s="1320" t="s">
        <v>1032</v>
      </c>
      <c r="F30" s="1502"/>
      <c r="G30" s="1502"/>
      <c r="H30" s="1502"/>
      <c r="I30" s="1502"/>
      <c r="J30" s="1502"/>
      <c r="K30" s="1502"/>
      <c r="L30" s="1502">
        <v>0</v>
      </c>
      <c r="M30" s="1502">
        <f>F30+G30+H30+I30+J30+K30+L30</f>
        <v>0</v>
      </c>
    </row>
    <row r="31" spans="1:13" ht="22.5" customHeight="1">
      <c r="A31" s="1593"/>
      <c r="B31" s="1599"/>
      <c r="C31" s="1600"/>
      <c r="D31" s="1602">
        <v>3</v>
      </c>
      <c r="E31" s="1320" t="s">
        <v>1033</v>
      </c>
      <c r="F31" s="1502"/>
      <c r="G31" s="1502"/>
      <c r="H31" s="1502"/>
      <c r="I31" s="1502"/>
      <c r="J31" s="1502"/>
      <c r="K31" s="1502"/>
      <c r="L31" s="1502">
        <v>0</v>
      </c>
      <c r="M31" s="1502">
        <f>F31+G31+H31+I31+J31+K31+L31</f>
        <v>0</v>
      </c>
    </row>
    <row r="32" spans="1:13" ht="22.5" customHeight="1">
      <c r="A32" s="1593"/>
      <c r="B32" s="1599"/>
      <c r="C32" s="1600"/>
      <c r="D32" s="1602">
        <v>4</v>
      </c>
      <c r="E32" s="1320" t="s">
        <v>1034</v>
      </c>
      <c r="F32" s="1502"/>
      <c r="G32" s="1502"/>
      <c r="H32" s="1502"/>
      <c r="I32" s="1502"/>
      <c r="J32" s="1502"/>
      <c r="K32" s="1502"/>
      <c r="L32" s="1502">
        <v>0</v>
      </c>
      <c r="M32" s="1502">
        <f>F32+G32+H32+I32+J32+K32+L32</f>
        <v>0</v>
      </c>
    </row>
    <row r="33" spans="1:13" ht="22.5" customHeight="1">
      <c r="A33" s="1593"/>
      <c r="B33" s="1599"/>
      <c r="C33" s="1605" t="s">
        <v>121</v>
      </c>
      <c r="D33" s="1601"/>
      <c r="E33" s="1315" t="s">
        <v>1035</v>
      </c>
      <c r="F33" s="1316"/>
      <c r="G33" s="1316"/>
      <c r="H33" s="1316"/>
      <c r="I33" s="1316"/>
      <c r="J33" s="1316"/>
      <c r="K33" s="1316">
        <f>K35</f>
        <v>0</v>
      </c>
      <c r="L33" s="1316">
        <f>L35</f>
        <v>2461176</v>
      </c>
      <c r="M33" s="1316">
        <f>F33+G33+H33+I33+J33+K33+L33</f>
        <v>2461176</v>
      </c>
    </row>
    <row r="34" spans="1:13" ht="18" customHeight="1">
      <c r="A34" s="1593"/>
      <c r="B34" s="1599"/>
      <c r="C34" s="1600"/>
      <c r="D34" s="1602"/>
      <c r="E34" s="1603" t="s">
        <v>706</v>
      </c>
      <c r="F34" s="1502"/>
      <c r="G34" s="1502"/>
      <c r="H34" s="1502"/>
      <c r="I34" s="1502"/>
      <c r="J34" s="1502"/>
      <c r="K34" s="1502"/>
      <c r="L34" s="1502"/>
      <c r="M34" s="1502"/>
    </row>
    <row r="35" spans="1:13" ht="45" customHeight="1">
      <c r="A35" s="1593"/>
      <c r="B35" s="1599"/>
      <c r="C35" s="1600"/>
      <c r="D35" s="1602">
        <v>1</v>
      </c>
      <c r="E35" s="1320" t="s">
        <v>1036</v>
      </c>
      <c r="F35" s="1502"/>
      <c r="G35" s="1502"/>
      <c r="H35" s="1502"/>
      <c r="I35" s="1502"/>
      <c r="J35" s="1502"/>
      <c r="K35" s="1502"/>
      <c r="L35" s="1502">
        <f>1000000+200000+150000+285000+100000+30000+10000+30000+40000+13019+603157</f>
        <v>2461176</v>
      </c>
      <c r="M35" s="1502">
        <f>SUM(F35:L35)</f>
        <v>2461176</v>
      </c>
    </row>
    <row r="36" spans="1:13" ht="36" customHeight="1">
      <c r="A36" s="1607">
        <v>4</v>
      </c>
      <c r="B36" s="1607">
        <v>700</v>
      </c>
      <c r="C36" s="1606"/>
      <c r="D36" s="1608"/>
      <c r="E36" s="1608" t="s">
        <v>753</v>
      </c>
      <c r="F36" s="1609">
        <f>+F37+F47</f>
        <v>0</v>
      </c>
      <c r="G36" s="1609">
        <f aca="true" t="shared" si="6" ref="G36:L36">+G37+G47</f>
        <v>0</v>
      </c>
      <c r="H36" s="1609">
        <f t="shared" si="6"/>
        <v>0</v>
      </c>
      <c r="I36" s="1609">
        <f t="shared" si="6"/>
        <v>0</v>
      </c>
      <c r="J36" s="1609">
        <f t="shared" si="6"/>
        <v>0</v>
      </c>
      <c r="K36" s="1609">
        <f t="shared" si="6"/>
        <v>0</v>
      </c>
      <c r="L36" s="1609">
        <f t="shared" si="6"/>
        <v>495000</v>
      </c>
      <c r="M36" s="1592">
        <f>SUM(F36:L36)</f>
        <v>495000</v>
      </c>
    </row>
    <row r="37" spans="1:13" ht="36" customHeight="1">
      <c r="A37" s="1610"/>
      <c r="B37" s="1594" t="s">
        <v>1038</v>
      </c>
      <c r="C37" s="1595"/>
      <c r="D37" s="1596"/>
      <c r="E37" s="1597" t="s">
        <v>754</v>
      </c>
      <c r="F37" s="1598">
        <f>F38+F44</f>
        <v>0</v>
      </c>
      <c r="G37" s="1598">
        <f aca="true" t="shared" si="7" ref="G37:L37">G38+G44</f>
        <v>0</v>
      </c>
      <c r="H37" s="1598">
        <f t="shared" si="7"/>
        <v>0</v>
      </c>
      <c r="I37" s="1598">
        <f t="shared" si="7"/>
        <v>0</v>
      </c>
      <c r="J37" s="1598">
        <f t="shared" si="7"/>
        <v>0</v>
      </c>
      <c r="K37" s="1598">
        <f t="shared" si="7"/>
        <v>0</v>
      </c>
      <c r="L37" s="1598">
        <f t="shared" si="7"/>
        <v>323000</v>
      </c>
      <c r="M37" s="1598">
        <f>SUM(F37:L37)</f>
        <v>323000</v>
      </c>
    </row>
    <row r="38" spans="1:13" ht="24" customHeight="1">
      <c r="A38" s="1593"/>
      <c r="B38" s="1599"/>
      <c r="C38" s="1600" t="s">
        <v>602</v>
      </c>
      <c r="D38" s="1601"/>
      <c r="E38" s="1315" t="s">
        <v>1030</v>
      </c>
      <c r="F38" s="1316"/>
      <c r="G38" s="1316"/>
      <c r="H38" s="1316"/>
      <c r="I38" s="1316"/>
      <c r="J38" s="1316"/>
      <c r="K38" s="1316"/>
      <c r="L38" s="1316">
        <f>6000+97000+6000+27000+5500+5000+2000+52500+7000+50000</f>
        <v>258000</v>
      </c>
      <c r="M38" s="1502">
        <f>F38+G38+H38+I38+J38+K38+L38</f>
        <v>258000</v>
      </c>
    </row>
    <row r="39" spans="1:13" ht="18" customHeight="1">
      <c r="A39" s="1593"/>
      <c r="B39" s="1599"/>
      <c r="C39" s="1600"/>
      <c r="D39" s="1602"/>
      <c r="E39" s="1603" t="s">
        <v>706</v>
      </c>
      <c r="F39" s="1502"/>
      <c r="G39" s="1502"/>
      <c r="H39" s="1502"/>
      <c r="I39" s="1502"/>
      <c r="J39" s="1502"/>
      <c r="K39" s="1502"/>
      <c r="L39" s="1502"/>
      <c r="M39" s="1502"/>
    </row>
    <row r="40" spans="1:13" ht="24" customHeight="1">
      <c r="A40" s="1593"/>
      <c r="B40" s="1599"/>
      <c r="C40" s="1600"/>
      <c r="D40" s="1602">
        <v>1</v>
      </c>
      <c r="E40" s="1604" t="s">
        <v>1031</v>
      </c>
      <c r="F40" s="1502"/>
      <c r="G40" s="1502"/>
      <c r="H40" s="1502"/>
      <c r="I40" s="1502"/>
      <c r="J40" s="1502"/>
      <c r="K40" s="1502"/>
      <c r="L40" s="1502">
        <v>0</v>
      </c>
      <c r="M40" s="1502">
        <f>F40+G40+H40+I40+J40+K40+L40</f>
        <v>0</v>
      </c>
    </row>
    <row r="41" spans="1:13" ht="24" customHeight="1">
      <c r="A41" s="1593"/>
      <c r="B41" s="1599"/>
      <c r="C41" s="1600"/>
      <c r="D41" s="1602">
        <v>2</v>
      </c>
      <c r="E41" s="1320" t="s">
        <v>1032</v>
      </c>
      <c r="F41" s="1502"/>
      <c r="G41" s="1502"/>
      <c r="H41" s="1502"/>
      <c r="I41" s="1502"/>
      <c r="J41" s="1502"/>
      <c r="K41" s="1502"/>
      <c r="L41" s="1502">
        <v>0</v>
      </c>
      <c r="M41" s="1502">
        <f>F41+G41+H41+I41+J41+K41+L41</f>
        <v>0</v>
      </c>
    </row>
    <row r="42" spans="1:13" ht="24" customHeight="1">
      <c r="A42" s="1593"/>
      <c r="B42" s="1599"/>
      <c r="C42" s="1600"/>
      <c r="D42" s="1602">
        <v>3</v>
      </c>
      <c r="E42" s="1320" t="s">
        <v>1033</v>
      </c>
      <c r="F42" s="1502"/>
      <c r="G42" s="1502"/>
      <c r="H42" s="1502"/>
      <c r="I42" s="1502"/>
      <c r="J42" s="1502"/>
      <c r="K42" s="1502"/>
      <c r="L42" s="1502">
        <v>0</v>
      </c>
      <c r="M42" s="1502">
        <f>F42+G42+H42+I42+J42+K42+L42</f>
        <v>0</v>
      </c>
    </row>
    <row r="43" spans="1:13" ht="24" customHeight="1">
      <c r="A43" s="1593"/>
      <c r="B43" s="1599"/>
      <c r="C43" s="1600"/>
      <c r="D43" s="1602">
        <v>4</v>
      </c>
      <c r="E43" s="1320" t="s">
        <v>1034</v>
      </c>
      <c r="F43" s="1502"/>
      <c r="G43" s="1502"/>
      <c r="H43" s="1502"/>
      <c r="I43" s="1502"/>
      <c r="J43" s="1502"/>
      <c r="K43" s="1502"/>
      <c r="L43" s="1502">
        <v>0</v>
      </c>
      <c r="M43" s="1502">
        <f>F43+G43+H43+I43+J43+K43+L43</f>
        <v>0</v>
      </c>
    </row>
    <row r="44" spans="1:13" ht="24" customHeight="1">
      <c r="A44" s="1593"/>
      <c r="B44" s="1599"/>
      <c r="C44" s="1605" t="s">
        <v>121</v>
      </c>
      <c r="D44" s="1601"/>
      <c r="E44" s="1315" t="s">
        <v>1035</v>
      </c>
      <c r="F44" s="1316"/>
      <c r="G44" s="1316"/>
      <c r="H44" s="1316"/>
      <c r="I44" s="1316"/>
      <c r="J44" s="1316"/>
      <c r="K44" s="1316"/>
      <c r="L44" s="1316">
        <f>L46</f>
        <v>65000</v>
      </c>
      <c r="M44" s="1316">
        <f>F44+G44+H44+I44+J44+K44+L44</f>
        <v>65000</v>
      </c>
    </row>
    <row r="45" spans="1:13" ht="16.5" customHeight="1">
      <c r="A45" s="1593"/>
      <c r="B45" s="1599"/>
      <c r="C45" s="1600"/>
      <c r="D45" s="1602"/>
      <c r="E45" s="1603" t="s">
        <v>706</v>
      </c>
      <c r="F45" s="1502"/>
      <c r="G45" s="1502"/>
      <c r="H45" s="1502"/>
      <c r="I45" s="1502"/>
      <c r="J45" s="1502"/>
      <c r="K45" s="1502"/>
      <c r="L45" s="1502"/>
      <c r="M45" s="1502"/>
    </row>
    <row r="46" spans="1:13" ht="39.75" customHeight="1">
      <c r="A46" s="1593"/>
      <c r="B46" s="1599"/>
      <c r="C46" s="1600"/>
      <c r="D46" s="1602">
        <v>1</v>
      </c>
      <c r="E46" s="1320" t="s">
        <v>1036</v>
      </c>
      <c r="F46" s="1502"/>
      <c r="G46" s="1502"/>
      <c r="H46" s="1502"/>
      <c r="I46" s="1502"/>
      <c r="J46" s="1502"/>
      <c r="K46" s="1502"/>
      <c r="L46" s="1502">
        <f>15000+50000</f>
        <v>65000</v>
      </c>
      <c r="M46" s="1502">
        <f>SUM(F46:L46)</f>
        <v>65000</v>
      </c>
    </row>
    <row r="47" spans="1:13" ht="36" customHeight="1">
      <c r="A47" s="1593"/>
      <c r="B47" s="1594" t="s">
        <v>1039</v>
      </c>
      <c r="C47" s="1595"/>
      <c r="D47" s="1596"/>
      <c r="E47" s="1597" t="s">
        <v>24</v>
      </c>
      <c r="F47" s="1598">
        <f aca="true" t="shared" si="8" ref="F47:L47">F48+F54</f>
        <v>0</v>
      </c>
      <c r="G47" s="1598">
        <f t="shared" si="8"/>
        <v>0</v>
      </c>
      <c r="H47" s="1598">
        <f t="shared" si="8"/>
        <v>0</v>
      </c>
      <c r="I47" s="1598">
        <f t="shared" si="8"/>
        <v>0</v>
      </c>
      <c r="J47" s="1598">
        <f t="shared" si="8"/>
        <v>0</v>
      </c>
      <c r="K47" s="1598">
        <f t="shared" si="8"/>
        <v>0</v>
      </c>
      <c r="L47" s="1598">
        <f t="shared" si="8"/>
        <v>172000</v>
      </c>
      <c r="M47" s="1598">
        <f>SUM(F47:L47)</f>
        <v>172000</v>
      </c>
    </row>
    <row r="48" spans="1:13" ht="24" customHeight="1">
      <c r="A48" s="1593"/>
      <c r="B48" s="1599"/>
      <c r="C48" s="1600" t="s">
        <v>602</v>
      </c>
      <c r="D48" s="1601"/>
      <c r="E48" s="1315" t="s">
        <v>1030</v>
      </c>
      <c r="F48" s="1316"/>
      <c r="G48" s="1316"/>
      <c r="H48" s="1316"/>
      <c r="I48" s="1316"/>
      <c r="J48" s="1316"/>
      <c r="K48" s="1316"/>
      <c r="L48" s="1316">
        <f>2000+20000+50000+100000</f>
        <v>172000</v>
      </c>
      <c r="M48" s="1502">
        <f>F48+G48+H48+I48+J48+K48+L48</f>
        <v>172000</v>
      </c>
    </row>
    <row r="49" spans="1:13" ht="18" customHeight="1">
      <c r="A49" s="1593"/>
      <c r="B49" s="1599"/>
      <c r="C49" s="1600"/>
      <c r="D49" s="1602"/>
      <c r="E49" s="1603" t="s">
        <v>706</v>
      </c>
      <c r="F49" s="1502"/>
      <c r="G49" s="1502"/>
      <c r="H49" s="1502"/>
      <c r="I49" s="1502"/>
      <c r="J49" s="1502"/>
      <c r="K49" s="1502"/>
      <c r="L49" s="1502"/>
      <c r="M49" s="1502"/>
    </row>
    <row r="50" spans="1:13" ht="24" customHeight="1">
      <c r="A50" s="1593"/>
      <c r="B50" s="1599"/>
      <c r="C50" s="1600"/>
      <c r="D50" s="1602">
        <v>1</v>
      </c>
      <c r="E50" s="1604" t="s">
        <v>1031</v>
      </c>
      <c r="F50" s="1502"/>
      <c r="G50" s="1502"/>
      <c r="H50" s="1502"/>
      <c r="I50" s="1502"/>
      <c r="J50" s="1502"/>
      <c r="K50" s="1502"/>
      <c r="L50" s="1502">
        <v>0</v>
      </c>
      <c r="M50" s="1502">
        <f>F50+G50+H50+I50+J50+K50+L50</f>
        <v>0</v>
      </c>
    </row>
    <row r="51" spans="1:13" ht="24" customHeight="1">
      <c r="A51" s="1593"/>
      <c r="B51" s="1599"/>
      <c r="C51" s="1600"/>
      <c r="D51" s="1602">
        <v>2</v>
      </c>
      <c r="E51" s="1320" t="s">
        <v>1032</v>
      </c>
      <c r="F51" s="1502"/>
      <c r="G51" s="1502"/>
      <c r="H51" s="1502"/>
      <c r="I51" s="1502"/>
      <c r="J51" s="1502"/>
      <c r="K51" s="1502"/>
      <c r="L51" s="1502">
        <v>0</v>
      </c>
      <c r="M51" s="1502">
        <f>F51+G51+H51+I51+J51+K51+L51</f>
        <v>0</v>
      </c>
    </row>
    <row r="52" spans="1:13" ht="24" customHeight="1">
      <c r="A52" s="1593"/>
      <c r="B52" s="1599"/>
      <c r="C52" s="1600"/>
      <c r="D52" s="1602">
        <v>3</v>
      </c>
      <c r="E52" s="1320" t="s">
        <v>1033</v>
      </c>
      <c r="F52" s="1502"/>
      <c r="G52" s="1502"/>
      <c r="H52" s="1502"/>
      <c r="I52" s="1502"/>
      <c r="J52" s="1502"/>
      <c r="K52" s="1502"/>
      <c r="L52" s="1502">
        <v>0</v>
      </c>
      <c r="M52" s="1502">
        <f>F52+G52+H52+I52+J52+K52+L52</f>
        <v>0</v>
      </c>
    </row>
    <row r="53" spans="1:13" ht="24" customHeight="1">
      <c r="A53" s="1593"/>
      <c r="B53" s="1599"/>
      <c r="C53" s="1600"/>
      <c r="D53" s="1602">
        <v>4</v>
      </c>
      <c r="E53" s="1320" t="s">
        <v>1034</v>
      </c>
      <c r="F53" s="1502"/>
      <c r="G53" s="1502"/>
      <c r="H53" s="1502"/>
      <c r="I53" s="1502"/>
      <c r="J53" s="1502"/>
      <c r="K53" s="1502"/>
      <c r="L53" s="1502">
        <v>0</v>
      </c>
      <c r="M53" s="1502">
        <f>F53+G53+H53+I53+J53+K53+L53</f>
        <v>0</v>
      </c>
    </row>
    <row r="54" spans="1:13" ht="24" customHeight="1">
      <c r="A54" s="1593"/>
      <c r="B54" s="1599"/>
      <c r="C54" s="1605" t="s">
        <v>121</v>
      </c>
      <c r="D54" s="1601"/>
      <c r="E54" s="1315" t="s">
        <v>1035</v>
      </c>
      <c r="F54" s="1316"/>
      <c r="G54" s="1316"/>
      <c r="H54" s="1316"/>
      <c r="I54" s="1316"/>
      <c r="J54" s="1316"/>
      <c r="K54" s="1316"/>
      <c r="L54" s="1316">
        <f>L56</f>
        <v>0</v>
      </c>
      <c r="M54" s="1316">
        <f>F54+G54+H54+I54+J54+K54+L54</f>
        <v>0</v>
      </c>
    </row>
    <row r="55" spans="1:13" ht="16.5" customHeight="1">
      <c r="A55" s="1593"/>
      <c r="B55" s="1599"/>
      <c r="C55" s="1600"/>
      <c r="D55" s="1602"/>
      <c r="E55" s="1603" t="s">
        <v>706</v>
      </c>
      <c r="F55" s="1502"/>
      <c r="G55" s="1502"/>
      <c r="H55" s="1502"/>
      <c r="I55" s="1502"/>
      <c r="J55" s="1502"/>
      <c r="K55" s="1502"/>
      <c r="L55" s="1502"/>
      <c r="M55" s="1502"/>
    </row>
    <row r="56" spans="1:13" ht="39.75" customHeight="1">
      <c r="A56" s="1593"/>
      <c r="B56" s="1599"/>
      <c r="C56" s="1600"/>
      <c r="D56" s="1602">
        <v>1</v>
      </c>
      <c r="E56" s="1320" t="s">
        <v>1036</v>
      </c>
      <c r="F56" s="1502"/>
      <c r="G56" s="1502"/>
      <c r="H56" s="1502"/>
      <c r="I56" s="1502"/>
      <c r="J56" s="1502"/>
      <c r="K56" s="1502"/>
      <c r="L56" s="1502">
        <v>0</v>
      </c>
      <c r="M56" s="1502">
        <f>SUM(F56:L56)</f>
        <v>0</v>
      </c>
    </row>
    <row r="57" spans="1:13" ht="36" customHeight="1">
      <c r="A57" s="1607">
        <v>5</v>
      </c>
      <c r="B57" s="1607">
        <v>710</v>
      </c>
      <c r="C57" s="1606"/>
      <c r="D57" s="1608"/>
      <c r="E57" s="1608" t="s">
        <v>680</v>
      </c>
      <c r="F57" s="1609">
        <f>F58+F68+F78+F88</f>
        <v>0</v>
      </c>
      <c r="G57" s="1609">
        <f aca="true" t="shared" si="9" ref="G57:L57">G58+G68+G78+G88</f>
        <v>0</v>
      </c>
      <c r="H57" s="1609">
        <f t="shared" si="9"/>
        <v>0</v>
      </c>
      <c r="I57" s="1609">
        <f t="shared" si="9"/>
        <v>0</v>
      </c>
      <c r="J57" s="1609">
        <f t="shared" si="9"/>
        <v>0</v>
      </c>
      <c r="K57" s="1609">
        <f t="shared" si="9"/>
        <v>0</v>
      </c>
      <c r="L57" s="1609">
        <f t="shared" si="9"/>
        <v>848000</v>
      </c>
      <c r="M57" s="1592">
        <f>SUM(F57:L57)</f>
        <v>848000</v>
      </c>
    </row>
    <row r="58" spans="1:13" ht="36" customHeight="1">
      <c r="A58" s="1611"/>
      <c r="B58" s="1594" t="s">
        <v>1040</v>
      </c>
      <c r="C58" s="1595"/>
      <c r="D58" s="1596"/>
      <c r="E58" s="1597" t="s">
        <v>681</v>
      </c>
      <c r="F58" s="1598">
        <f aca="true" t="shared" si="10" ref="F58:L58">+F59</f>
        <v>0</v>
      </c>
      <c r="G58" s="1598">
        <f t="shared" si="10"/>
        <v>0</v>
      </c>
      <c r="H58" s="1598">
        <f t="shared" si="10"/>
        <v>0</v>
      </c>
      <c r="I58" s="1598">
        <f t="shared" si="10"/>
        <v>0</v>
      </c>
      <c r="J58" s="1598">
        <f t="shared" si="10"/>
        <v>0</v>
      </c>
      <c r="K58" s="1598">
        <f t="shared" si="10"/>
        <v>0</v>
      </c>
      <c r="L58" s="1598">
        <f t="shared" si="10"/>
        <v>110000</v>
      </c>
      <c r="M58" s="1598">
        <f>SUM(F58:L58)</f>
        <v>110000</v>
      </c>
    </row>
    <row r="59" spans="1:13" ht="24" customHeight="1">
      <c r="A59" s="1593"/>
      <c r="B59" s="1599"/>
      <c r="C59" s="1600" t="s">
        <v>602</v>
      </c>
      <c r="D59" s="1601"/>
      <c r="E59" s="1315" t="s">
        <v>1030</v>
      </c>
      <c r="F59" s="1316"/>
      <c r="G59" s="1316"/>
      <c r="H59" s="1316"/>
      <c r="I59" s="1316"/>
      <c r="J59" s="1316"/>
      <c r="K59" s="1316"/>
      <c r="L59" s="1316">
        <f>60000+50000</f>
        <v>110000</v>
      </c>
      <c r="M59" s="1502">
        <f>F59+G59+H59+I59+J59+K59+L59</f>
        <v>110000</v>
      </c>
    </row>
    <row r="60" spans="1:13" ht="15" customHeight="1">
      <c r="A60" s="1593"/>
      <c r="B60" s="1599"/>
      <c r="C60" s="1600"/>
      <c r="D60" s="1602"/>
      <c r="E60" s="1603" t="s">
        <v>706</v>
      </c>
      <c r="F60" s="1502"/>
      <c r="G60" s="1502"/>
      <c r="H60" s="1502"/>
      <c r="I60" s="1502"/>
      <c r="J60" s="1502"/>
      <c r="K60" s="1502"/>
      <c r="L60" s="1502"/>
      <c r="M60" s="1502"/>
    </row>
    <row r="61" spans="1:13" ht="24" customHeight="1">
      <c r="A61" s="1593"/>
      <c r="B61" s="1599"/>
      <c r="C61" s="1600"/>
      <c r="D61" s="1602">
        <v>1</v>
      </c>
      <c r="E61" s="1604" t="s">
        <v>1031</v>
      </c>
      <c r="F61" s="1502"/>
      <c r="G61" s="1502"/>
      <c r="H61" s="1502"/>
      <c r="I61" s="1502"/>
      <c r="J61" s="1502"/>
      <c r="K61" s="1502"/>
      <c r="L61" s="1502">
        <v>1400</v>
      </c>
      <c r="M61" s="1502">
        <f>F61+G61+H61+I61+J61+K61+L61</f>
        <v>1400</v>
      </c>
    </row>
    <row r="62" spans="1:13" ht="24" customHeight="1">
      <c r="A62" s="1593"/>
      <c r="B62" s="1599"/>
      <c r="C62" s="1600"/>
      <c r="D62" s="1602">
        <v>2</v>
      </c>
      <c r="E62" s="1320" t="s">
        <v>1032</v>
      </c>
      <c r="F62" s="1502"/>
      <c r="G62" s="1502"/>
      <c r="H62" s="1502"/>
      <c r="I62" s="1502"/>
      <c r="J62" s="1502"/>
      <c r="K62" s="1502"/>
      <c r="L62" s="1502">
        <v>0</v>
      </c>
      <c r="M62" s="1502">
        <f>F62+G62+H62+I62+J62+K62+L62</f>
        <v>0</v>
      </c>
    </row>
    <row r="63" spans="1:13" ht="24" customHeight="1">
      <c r="A63" s="1593"/>
      <c r="B63" s="1599"/>
      <c r="C63" s="1600"/>
      <c r="D63" s="1602">
        <v>3</v>
      </c>
      <c r="E63" s="1320" t="s">
        <v>1033</v>
      </c>
      <c r="F63" s="1502"/>
      <c r="G63" s="1502"/>
      <c r="H63" s="1502"/>
      <c r="I63" s="1502"/>
      <c r="J63" s="1502"/>
      <c r="K63" s="1502"/>
      <c r="L63" s="1502">
        <v>0</v>
      </c>
      <c r="M63" s="1502">
        <f>F63+G63+H63+I63+J63+K63+L63</f>
        <v>0</v>
      </c>
    </row>
    <row r="64" spans="1:13" ht="24" customHeight="1">
      <c r="A64" s="1593"/>
      <c r="B64" s="1599"/>
      <c r="C64" s="1600"/>
      <c r="D64" s="1602">
        <v>4</v>
      </c>
      <c r="E64" s="1320" t="s">
        <v>1034</v>
      </c>
      <c r="F64" s="1502"/>
      <c r="G64" s="1502"/>
      <c r="H64" s="1502"/>
      <c r="I64" s="1502"/>
      <c r="J64" s="1502"/>
      <c r="K64" s="1502"/>
      <c r="L64" s="1502">
        <v>0</v>
      </c>
      <c r="M64" s="1502">
        <f>F64+G64+H64+I64+J64+K64+L64</f>
        <v>0</v>
      </c>
    </row>
    <row r="65" spans="1:13" ht="24" customHeight="1">
      <c r="A65" s="1593"/>
      <c r="B65" s="1599"/>
      <c r="C65" s="1605" t="s">
        <v>121</v>
      </c>
      <c r="D65" s="1601"/>
      <c r="E65" s="1315" t="s">
        <v>1035</v>
      </c>
      <c r="F65" s="1316"/>
      <c r="G65" s="1316"/>
      <c r="H65" s="1316"/>
      <c r="I65" s="1316"/>
      <c r="J65" s="1316"/>
      <c r="K65" s="1316"/>
      <c r="L65" s="1316">
        <v>0</v>
      </c>
      <c r="M65" s="1316">
        <f>F65+G65+H65+I65+J65+K65+L65</f>
        <v>0</v>
      </c>
    </row>
    <row r="66" spans="1:13" ht="16.5" customHeight="1">
      <c r="A66" s="1593"/>
      <c r="B66" s="1599"/>
      <c r="C66" s="1600"/>
      <c r="D66" s="1602"/>
      <c r="E66" s="1603" t="s">
        <v>706</v>
      </c>
      <c r="F66" s="1502"/>
      <c r="G66" s="1502"/>
      <c r="H66" s="1502"/>
      <c r="I66" s="1502"/>
      <c r="J66" s="1502"/>
      <c r="K66" s="1502"/>
      <c r="L66" s="1502"/>
      <c r="M66" s="1502"/>
    </row>
    <row r="67" spans="1:13" ht="42" customHeight="1">
      <c r="A67" s="1593"/>
      <c r="B67" s="1599"/>
      <c r="C67" s="1600"/>
      <c r="D67" s="1602">
        <v>1</v>
      </c>
      <c r="E67" s="1320" t="s">
        <v>1036</v>
      </c>
      <c r="F67" s="1502"/>
      <c r="G67" s="1502"/>
      <c r="H67" s="1502"/>
      <c r="I67" s="1502"/>
      <c r="J67" s="1502"/>
      <c r="K67" s="1502"/>
      <c r="L67" s="1502">
        <v>0</v>
      </c>
      <c r="M67" s="1502">
        <f>SUM(F67:L67)</f>
        <v>0</v>
      </c>
    </row>
    <row r="68" spans="1:13" ht="36" customHeight="1">
      <c r="A68" s="1593"/>
      <c r="B68" s="1594" t="s">
        <v>1041</v>
      </c>
      <c r="C68" s="1595"/>
      <c r="D68" s="1596"/>
      <c r="E68" s="1597" t="s">
        <v>685</v>
      </c>
      <c r="F68" s="1598">
        <f aca="true" t="shared" si="11" ref="F68:L68">F69+F75</f>
        <v>0</v>
      </c>
      <c r="G68" s="1598">
        <f t="shared" si="11"/>
        <v>0</v>
      </c>
      <c r="H68" s="1598">
        <f t="shared" si="11"/>
        <v>0</v>
      </c>
      <c r="I68" s="1598">
        <f t="shared" si="11"/>
        <v>0</v>
      </c>
      <c r="J68" s="1598">
        <f t="shared" si="11"/>
        <v>0</v>
      </c>
      <c r="K68" s="1598">
        <f t="shared" si="11"/>
        <v>0</v>
      </c>
      <c r="L68" s="1598">
        <f t="shared" si="11"/>
        <v>127000</v>
      </c>
      <c r="M68" s="1598">
        <f>SUM(F68:L68)</f>
        <v>127000</v>
      </c>
    </row>
    <row r="69" spans="1:13" ht="24" customHeight="1">
      <c r="A69" s="1593"/>
      <c r="B69" s="1599"/>
      <c r="C69" s="1612" t="s">
        <v>602</v>
      </c>
      <c r="D69" s="1613"/>
      <c r="E69" s="1315" t="s">
        <v>1030</v>
      </c>
      <c r="F69" s="1316"/>
      <c r="G69" s="1316"/>
      <c r="H69" s="1316"/>
      <c r="I69" s="1316"/>
      <c r="J69" s="1316"/>
      <c r="K69" s="1316"/>
      <c r="L69" s="1316">
        <f>10000+80000+15000+10000+12000</f>
        <v>127000</v>
      </c>
      <c r="M69" s="1502">
        <f>F69+G69+H69+I69+J69+K69+L69</f>
        <v>127000</v>
      </c>
    </row>
    <row r="70" spans="1:13" ht="16.5" customHeight="1">
      <c r="A70" s="1593"/>
      <c r="B70" s="1599"/>
      <c r="C70" s="1600"/>
      <c r="D70" s="1602"/>
      <c r="E70" s="1603" t="s">
        <v>706</v>
      </c>
      <c r="F70" s="1502"/>
      <c r="G70" s="1502"/>
      <c r="H70" s="1502"/>
      <c r="I70" s="1502"/>
      <c r="J70" s="1502"/>
      <c r="K70" s="1502"/>
      <c r="L70" s="1502"/>
      <c r="M70" s="1502"/>
    </row>
    <row r="71" spans="1:13" ht="24" customHeight="1">
      <c r="A71" s="1593"/>
      <c r="B71" s="1599"/>
      <c r="C71" s="1600"/>
      <c r="D71" s="1602">
        <v>1</v>
      </c>
      <c r="E71" s="1604" t="s">
        <v>1031</v>
      </c>
      <c r="F71" s="1502"/>
      <c r="G71" s="1502"/>
      <c r="H71" s="1502"/>
      <c r="I71" s="1502"/>
      <c r="J71" s="1502"/>
      <c r="K71" s="1502"/>
      <c r="L71" s="1502">
        <v>0</v>
      </c>
      <c r="M71" s="1502">
        <f>F71+G71+H71+I71+J71+K71+L71</f>
        <v>0</v>
      </c>
    </row>
    <row r="72" spans="1:13" ht="24" customHeight="1">
      <c r="A72" s="1593"/>
      <c r="B72" s="1599"/>
      <c r="C72" s="1600"/>
      <c r="D72" s="1602">
        <v>2</v>
      </c>
      <c r="E72" s="1320" t="s">
        <v>1032</v>
      </c>
      <c r="F72" s="1502"/>
      <c r="G72" s="1502"/>
      <c r="H72" s="1502"/>
      <c r="I72" s="1502"/>
      <c r="J72" s="1502"/>
      <c r="K72" s="1502"/>
      <c r="L72" s="1502">
        <v>0</v>
      </c>
      <c r="M72" s="1502">
        <f>F72+G72+H72+I72+J72+K72+L72</f>
        <v>0</v>
      </c>
    </row>
    <row r="73" spans="1:13" ht="24" customHeight="1">
      <c r="A73" s="1593"/>
      <c r="B73" s="1599"/>
      <c r="C73" s="1600"/>
      <c r="D73" s="1602">
        <v>3</v>
      </c>
      <c r="E73" s="1320" t="s">
        <v>1033</v>
      </c>
      <c r="F73" s="1502"/>
      <c r="G73" s="1502"/>
      <c r="H73" s="1502"/>
      <c r="I73" s="1502"/>
      <c r="J73" s="1502"/>
      <c r="K73" s="1502"/>
      <c r="L73" s="1502">
        <v>0</v>
      </c>
      <c r="M73" s="1502">
        <f>F73+G73+H73+I73+J73+K73+L73</f>
        <v>0</v>
      </c>
    </row>
    <row r="74" spans="1:13" ht="24" customHeight="1">
      <c r="A74" s="1593"/>
      <c r="B74" s="1599"/>
      <c r="C74" s="1600"/>
      <c r="D74" s="1602">
        <v>4</v>
      </c>
      <c r="E74" s="1320" t="s">
        <v>1034</v>
      </c>
      <c r="F74" s="1502"/>
      <c r="G74" s="1502"/>
      <c r="H74" s="1502"/>
      <c r="I74" s="1502"/>
      <c r="J74" s="1502"/>
      <c r="K74" s="1502"/>
      <c r="L74" s="1502">
        <v>0</v>
      </c>
      <c r="M74" s="1502">
        <f>F74+G74+H74+I74+J74+K74+L74</f>
        <v>0</v>
      </c>
    </row>
    <row r="75" spans="1:13" ht="24" customHeight="1">
      <c r="A75" s="1593"/>
      <c r="B75" s="1599"/>
      <c r="C75" s="1605" t="s">
        <v>121</v>
      </c>
      <c r="D75" s="1601"/>
      <c r="E75" s="1315" t="s">
        <v>1035</v>
      </c>
      <c r="F75" s="1316"/>
      <c r="G75" s="1316"/>
      <c r="H75" s="1316"/>
      <c r="I75" s="1316"/>
      <c r="J75" s="1316"/>
      <c r="K75" s="1316"/>
      <c r="L75" s="1316">
        <v>0</v>
      </c>
      <c r="M75" s="1316">
        <f>F75+G75+H75+I75+J75+K75+L75</f>
        <v>0</v>
      </c>
    </row>
    <row r="76" spans="1:13" ht="15.75" customHeight="1">
      <c r="A76" s="1593"/>
      <c r="B76" s="1599"/>
      <c r="C76" s="1600"/>
      <c r="D76" s="1602"/>
      <c r="E76" s="1603" t="s">
        <v>706</v>
      </c>
      <c r="F76" s="1502"/>
      <c r="G76" s="1502"/>
      <c r="H76" s="1502"/>
      <c r="I76" s="1502"/>
      <c r="J76" s="1502"/>
      <c r="K76" s="1502"/>
      <c r="L76" s="1502"/>
      <c r="M76" s="1502"/>
    </row>
    <row r="77" spans="1:13" ht="42" customHeight="1">
      <c r="A77" s="1593"/>
      <c r="B77" s="1599"/>
      <c r="C77" s="1600"/>
      <c r="D77" s="1602">
        <v>1</v>
      </c>
      <c r="E77" s="1320" t="s">
        <v>1036</v>
      </c>
      <c r="F77" s="1502"/>
      <c r="G77" s="1502"/>
      <c r="H77" s="1502"/>
      <c r="I77" s="1502"/>
      <c r="J77" s="1502"/>
      <c r="K77" s="1502"/>
      <c r="L77" s="1502">
        <v>0</v>
      </c>
      <c r="M77" s="1502">
        <f>SUM(F77:L77)</f>
        <v>0</v>
      </c>
    </row>
    <row r="78" spans="1:13" ht="36" customHeight="1">
      <c r="A78" s="1593"/>
      <c r="B78" s="1594">
        <v>71035</v>
      </c>
      <c r="C78" s="1595"/>
      <c r="D78" s="1596"/>
      <c r="E78" s="1597" t="s">
        <v>688</v>
      </c>
      <c r="F78" s="1598">
        <f aca="true" t="shared" si="12" ref="F78:L78">F79+F85</f>
        <v>0</v>
      </c>
      <c r="G78" s="1598">
        <f t="shared" si="12"/>
        <v>0</v>
      </c>
      <c r="H78" s="1598">
        <f t="shared" si="12"/>
        <v>0</v>
      </c>
      <c r="I78" s="1598">
        <f t="shared" si="12"/>
        <v>0</v>
      </c>
      <c r="J78" s="1598">
        <f t="shared" si="12"/>
        <v>0</v>
      </c>
      <c r="K78" s="1598">
        <f t="shared" si="12"/>
        <v>0</v>
      </c>
      <c r="L78" s="1598">
        <f t="shared" si="12"/>
        <v>500000</v>
      </c>
      <c r="M78" s="1598">
        <f>SUM(F78:L78)</f>
        <v>500000</v>
      </c>
    </row>
    <row r="79" spans="1:13" ht="24" customHeight="1">
      <c r="A79" s="1593"/>
      <c r="B79" s="1599"/>
      <c r="C79" s="1612" t="s">
        <v>602</v>
      </c>
      <c r="D79" s="1613"/>
      <c r="E79" s="1315" t="s">
        <v>1030</v>
      </c>
      <c r="F79" s="1316"/>
      <c r="G79" s="1316"/>
      <c r="H79" s="1316"/>
      <c r="I79" s="1316"/>
      <c r="J79" s="1316"/>
      <c r="K79" s="1316"/>
      <c r="L79" s="1316">
        <v>0</v>
      </c>
      <c r="M79" s="1502">
        <f>F79+G79+H79+I79+J79+K79+L79</f>
        <v>0</v>
      </c>
    </row>
    <row r="80" spans="1:13" ht="16.5" customHeight="1">
      <c r="A80" s="1593"/>
      <c r="B80" s="1599"/>
      <c r="C80" s="1600"/>
      <c r="D80" s="1602"/>
      <c r="E80" s="1603" t="s">
        <v>706</v>
      </c>
      <c r="F80" s="1502"/>
      <c r="G80" s="1502"/>
      <c r="H80" s="1502"/>
      <c r="I80" s="1502"/>
      <c r="J80" s="1502"/>
      <c r="K80" s="1502"/>
      <c r="L80" s="1502"/>
      <c r="M80" s="1502"/>
    </row>
    <row r="81" spans="1:13" ht="24" customHeight="1">
      <c r="A81" s="1593"/>
      <c r="B81" s="1599"/>
      <c r="C81" s="1600"/>
      <c r="D81" s="1602">
        <v>1</v>
      </c>
      <c r="E81" s="1604" t="s">
        <v>1031</v>
      </c>
      <c r="F81" s="1502"/>
      <c r="G81" s="1502"/>
      <c r="H81" s="1502"/>
      <c r="I81" s="1502"/>
      <c r="J81" s="1502"/>
      <c r="K81" s="1502"/>
      <c r="L81" s="1502">
        <v>0</v>
      </c>
      <c r="M81" s="1502">
        <f>F81+G81+H81+I81+J81+K81+L81</f>
        <v>0</v>
      </c>
    </row>
    <row r="82" spans="1:13" ht="24" customHeight="1">
      <c r="A82" s="1593"/>
      <c r="B82" s="1599"/>
      <c r="C82" s="1600"/>
      <c r="D82" s="1602">
        <v>2</v>
      </c>
      <c r="E82" s="1320" t="s">
        <v>1032</v>
      </c>
      <c r="F82" s="1502"/>
      <c r="G82" s="1502"/>
      <c r="H82" s="1502"/>
      <c r="I82" s="1502"/>
      <c r="J82" s="1502"/>
      <c r="K82" s="1502"/>
      <c r="L82" s="1502">
        <v>0</v>
      </c>
      <c r="M82" s="1502">
        <f>F82+G82+H82+I82+J82+K82+L82</f>
        <v>0</v>
      </c>
    </row>
    <row r="83" spans="1:13" ht="24" customHeight="1">
      <c r="A83" s="1593"/>
      <c r="B83" s="1599"/>
      <c r="C83" s="1600"/>
      <c r="D83" s="1602">
        <v>3</v>
      </c>
      <c r="E83" s="1320" t="s">
        <v>1033</v>
      </c>
      <c r="F83" s="1502"/>
      <c r="G83" s="1502"/>
      <c r="H83" s="1502"/>
      <c r="I83" s="1502"/>
      <c r="J83" s="1502"/>
      <c r="K83" s="1502"/>
      <c r="L83" s="1502">
        <v>0</v>
      </c>
      <c r="M83" s="1502">
        <f>F83+G83+H83+I83+J83+K83+L83</f>
        <v>0</v>
      </c>
    </row>
    <row r="84" spans="1:13" ht="24" customHeight="1">
      <c r="A84" s="1593"/>
      <c r="B84" s="1599"/>
      <c r="C84" s="1600"/>
      <c r="D84" s="1602">
        <v>4</v>
      </c>
      <c r="E84" s="1320" t="s">
        <v>1034</v>
      </c>
      <c r="F84" s="1502"/>
      <c r="G84" s="1502"/>
      <c r="H84" s="1502"/>
      <c r="I84" s="1502"/>
      <c r="J84" s="1502"/>
      <c r="K84" s="1502"/>
      <c r="L84" s="1502">
        <v>0</v>
      </c>
      <c r="M84" s="1502">
        <f>F84+G84+H84+I84+J84+K84+L84</f>
        <v>0</v>
      </c>
    </row>
    <row r="85" spans="1:13" ht="24" customHeight="1">
      <c r="A85" s="1593"/>
      <c r="B85" s="1599"/>
      <c r="C85" s="1605" t="s">
        <v>121</v>
      </c>
      <c r="D85" s="1601"/>
      <c r="E85" s="1315" t="s">
        <v>1035</v>
      </c>
      <c r="F85" s="1316"/>
      <c r="G85" s="1316"/>
      <c r="H85" s="1316"/>
      <c r="I85" s="1316"/>
      <c r="J85" s="1316"/>
      <c r="K85" s="1316"/>
      <c r="L85" s="1316">
        <f>L87</f>
        <v>500000</v>
      </c>
      <c r="M85" s="1316">
        <f>F85+G85+H85+I85+J85+K85+L85</f>
        <v>500000</v>
      </c>
    </row>
    <row r="86" spans="1:13" ht="15.75" customHeight="1">
      <c r="A86" s="1593"/>
      <c r="B86" s="1599"/>
      <c r="C86" s="1600"/>
      <c r="D86" s="1602"/>
      <c r="E86" s="1603" t="s">
        <v>706</v>
      </c>
      <c r="F86" s="1502"/>
      <c r="G86" s="1502"/>
      <c r="H86" s="1502"/>
      <c r="I86" s="1502"/>
      <c r="J86" s="1502"/>
      <c r="K86" s="1502"/>
      <c r="L86" s="1502"/>
      <c r="M86" s="1502"/>
    </row>
    <row r="87" spans="1:13" ht="42" customHeight="1">
      <c r="A87" s="1593"/>
      <c r="B87" s="1599"/>
      <c r="C87" s="1600"/>
      <c r="D87" s="1602">
        <v>1</v>
      </c>
      <c r="E87" s="1320" t="s">
        <v>1036</v>
      </c>
      <c r="F87" s="1502"/>
      <c r="G87" s="1502"/>
      <c r="H87" s="1502"/>
      <c r="I87" s="1502"/>
      <c r="J87" s="1502"/>
      <c r="K87" s="1502"/>
      <c r="L87" s="1502">
        <v>500000</v>
      </c>
      <c r="M87" s="1502">
        <f>SUM(F87:L87)</f>
        <v>500000</v>
      </c>
    </row>
    <row r="88" spans="1:13" ht="36" customHeight="1">
      <c r="A88" s="1593"/>
      <c r="B88" s="1594" t="s">
        <v>1042</v>
      </c>
      <c r="C88" s="1595"/>
      <c r="D88" s="1596"/>
      <c r="E88" s="1597" t="s">
        <v>24</v>
      </c>
      <c r="F88" s="1598">
        <f aca="true" t="shared" si="13" ref="F88:L88">F89+F95</f>
        <v>0</v>
      </c>
      <c r="G88" s="1598">
        <f t="shared" si="13"/>
        <v>0</v>
      </c>
      <c r="H88" s="1598">
        <f t="shared" si="13"/>
        <v>0</v>
      </c>
      <c r="I88" s="1598">
        <f t="shared" si="13"/>
        <v>0</v>
      </c>
      <c r="J88" s="1598">
        <f t="shared" si="13"/>
        <v>0</v>
      </c>
      <c r="K88" s="1598">
        <f t="shared" si="13"/>
        <v>0</v>
      </c>
      <c r="L88" s="1598">
        <f t="shared" si="13"/>
        <v>111000</v>
      </c>
      <c r="M88" s="1598">
        <f>SUM(F88:L88)</f>
        <v>111000</v>
      </c>
    </row>
    <row r="89" spans="1:13" ht="24" customHeight="1">
      <c r="A89" s="1593"/>
      <c r="B89" s="1599"/>
      <c r="C89" s="1600" t="s">
        <v>602</v>
      </c>
      <c r="D89" s="1601"/>
      <c r="E89" s="1315" t="s">
        <v>1030</v>
      </c>
      <c r="F89" s="1316"/>
      <c r="G89" s="1316"/>
      <c r="H89" s="1316"/>
      <c r="I89" s="1316"/>
      <c r="J89" s="1316"/>
      <c r="K89" s="1316"/>
      <c r="L89" s="1316">
        <f>75000+6000+30000</f>
        <v>111000</v>
      </c>
      <c r="M89" s="1502">
        <f>F89+G89+H89+I89+J89+K89+L89</f>
        <v>111000</v>
      </c>
    </row>
    <row r="90" spans="1:13" ht="16.5" customHeight="1">
      <c r="A90" s="1593"/>
      <c r="B90" s="1599"/>
      <c r="C90" s="1600"/>
      <c r="D90" s="1602"/>
      <c r="E90" s="1603" t="s">
        <v>706</v>
      </c>
      <c r="F90" s="1502"/>
      <c r="G90" s="1502"/>
      <c r="H90" s="1502"/>
      <c r="I90" s="1502"/>
      <c r="J90" s="1502"/>
      <c r="K90" s="1502"/>
      <c r="L90" s="1502"/>
      <c r="M90" s="1502"/>
    </row>
    <row r="91" spans="1:13" ht="24" customHeight="1">
      <c r="A91" s="1593"/>
      <c r="B91" s="1599"/>
      <c r="C91" s="1600"/>
      <c r="D91" s="1602">
        <v>1</v>
      </c>
      <c r="E91" s="1604" t="s">
        <v>1031</v>
      </c>
      <c r="F91" s="1502"/>
      <c r="G91" s="1502"/>
      <c r="H91" s="1502"/>
      <c r="I91" s="1502"/>
      <c r="J91" s="1502"/>
      <c r="K91" s="1502"/>
      <c r="L91" s="1502">
        <v>0</v>
      </c>
      <c r="M91" s="1502">
        <f>F91+G91+H91+I91+J91+K91+L91</f>
        <v>0</v>
      </c>
    </row>
    <row r="92" spans="1:13" ht="24" customHeight="1">
      <c r="A92" s="1593"/>
      <c r="B92" s="1599"/>
      <c r="C92" s="1600"/>
      <c r="D92" s="1602">
        <v>2</v>
      </c>
      <c r="E92" s="1320" t="s">
        <v>1032</v>
      </c>
      <c r="F92" s="1502"/>
      <c r="G92" s="1502"/>
      <c r="H92" s="1502"/>
      <c r="I92" s="1502"/>
      <c r="J92" s="1502"/>
      <c r="K92" s="1502"/>
      <c r="L92" s="1502">
        <v>0</v>
      </c>
      <c r="M92" s="1502">
        <f>F92+G92+H92+I92+J92+K92+L92</f>
        <v>0</v>
      </c>
    </row>
    <row r="93" spans="1:13" ht="24" customHeight="1">
      <c r="A93" s="1593"/>
      <c r="B93" s="1599"/>
      <c r="C93" s="1600"/>
      <c r="D93" s="1602">
        <v>3</v>
      </c>
      <c r="E93" s="1320" t="s">
        <v>1033</v>
      </c>
      <c r="F93" s="1502"/>
      <c r="G93" s="1502"/>
      <c r="H93" s="1502"/>
      <c r="I93" s="1502"/>
      <c r="J93" s="1502"/>
      <c r="K93" s="1502"/>
      <c r="L93" s="1502">
        <v>0</v>
      </c>
      <c r="M93" s="1502">
        <f>F93+G93+H93+I93+J93+K93+L93</f>
        <v>0</v>
      </c>
    </row>
    <row r="94" spans="1:13" ht="24" customHeight="1">
      <c r="A94" s="1593"/>
      <c r="B94" s="1599"/>
      <c r="C94" s="1600"/>
      <c r="D94" s="1602">
        <v>4</v>
      </c>
      <c r="E94" s="1320" t="s">
        <v>1034</v>
      </c>
      <c r="F94" s="1502"/>
      <c r="G94" s="1502"/>
      <c r="H94" s="1502"/>
      <c r="I94" s="1502"/>
      <c r="J94" s="1502"/>
      <c r="K94" s="1502"/>
      <c r="L94" s="1502">
        <v>0</v>
      </c>
      <c r="M94" s="1502">
        <f>F94+G94+H94+I94+J94+K94+L94</f>
        <v>0</v>
      </c>
    </row>
    <row r="95" spans="1:13" ht="24" customHeight="1">
      <c r="A95" s="1593"/>
      <c r="B95" s="1599"/>
      <c r="C95" s="1605" t="s">
        <v>121</v>
      </c>
      <c r="D95" s="1601"/>
      <c r="E95" s="1315" t="s">
        <v>1035</v>
      </c>
      <c r="F95" s="1316"/>
      <c r="G95" s="1316"/>
      <c r="H95" s="1316"/>
      <c r="I95" s="1316"/>
      <c r="J95" s="1316"/>
      <c r="K95" s="1316"/>
      <c r="L95" s="1316">
        <f>L97</f>
        <v>0</v>
      </c>
      <c r="M95" s="1316">
        <f>F95+G95+H95+I95+J95+K95+L95</f>
        <v>0</v>
      </c>
    </row>
    <row r="96" spans="1:13" ht="17.25" customHeight="1">
      <c r="A96" s="1593"/>
      <c r="B96" s="1599"/>
      <c r="C96" s="1600"/>
      <c r="D96" s="1602"/>
      <c r="E96" s="1603" t="s">
        <v>706</v>
      </c>
      <c r="F96" s="1502"/>
      <c r="G96" s="1502"/>
      <c r="H96" s="1502"/>
      <c r="I96" s="1502"/>
      <c r="J96" s="1502"/>
      <c r="K96" s="1502"/>
      <c r="L96" s="1502"/>
      <c r="M96" s="1502"/>
    </row>
    <row r="97" spans="1:13" ht="38.25" customHeight="1">
      <c r="A97" s="1593"/>
      <c r="B97" s="1599"/>
      <c r="C97" s="1600"/>
      <c r="D97" s="1602">
        <v>1</v>
      </c>
      <c r="E97" s="1320" t="s">
        <v>1036</v>
      </c>
      <c r="F97" s="1502"/>
      <c r="G97" s="1502"/>
      <c r="H97" s="1502"/>
      <c r="I97" s="1502"/>
      <c r="J97" s="1502"/>
      <c r="K97" s="1502"/>
      <c r="L97" s="1502">
        <v>0</v>
      </c>
      <c r="M97" s="1502">
        <f>SUM(F97:L97)</f>
        <v>0</v>
      </c>
    </row>
    <row r="98" spans="1:13" ht="36" customHeight="1">
      <c r="A98" s="1607">
        <v>6</v>
      </c>
      <c r="B98" s="1607">
        <v>750</v>
      </c>
      <c r="C98" s="1606"/>
      <c r="D98" s="1608"/>
      <c r="E98" s="1608" t="s">
        <v>690</v>
      </c>
      <c r="F98" s="1609">
        <f aca="true" t="shared" si="14" ref="F98:K98">F99+F109+F119+F129+F139+F149</f>
        <v>165665</v>
      </c>
      <c r="G98" s="1609">
        <f t="shared" si="14"/>
        <v>0</v>
      </c>
      <c r="H98" s="1609">
        <f t="shared" si="14"/>
        <v>0</v>
      </c>
      <c r="I98" s="1609">
        <f t="shared" si="14"/>
        <v>0</v>
      </c>
      <c r="J98" s="1609">
        <f t="shared" si="14"/>
        <v>34000</v>
      </c>
      <c r="K98" s="1609">
        <f t="shared" si="14"/>
        <v>0</v>
      </c>
      <c r="L98" s="1609">
        <f>L99+L109+L119+L129+L139+L149</f>
        <v>4266743</v>
      </c>
      <c r="M98" s="1592">
        <f>SUM(F98:L98)</f>
        <v>4466408</v>
      </c>
    </row>
    <row r="99" spans="1:13" ht="36" customHeight="1">
      <c r="A99" s="1593"/>
      <c r="B99" s="1594" t="s">
        <v>691</v>
      </c>
      <c r="C99" s="1595"/>
      <c r="D99" s="1596"/>
      <c r="E99" s="1597" t="s">
        <v>692</v>
      </c>
      <c r="F99" s="1598">
        <f aca="true" t="shared" si="15" ref="F99:K99">F100+F106</f>
        <v>165665</v>
      </c>
      <c r="G99" s="1598">
        <f t="shared" si="15"/>
        <v>0</v>
      </c>
      <c r="H99" s="1598">
        <f t="shared" si="15"/>
        <v>0</v>
      </c>
      <c r="I99" s="1598">
        <f t="shared" si="15"/>
        <v>0</v>
      </c>
      <c r="J99" s="1598">
        <f t="shared" si="15"/>
        <v>0</v>
      </c>
      <c r="K99" s="1598">
        <f t="shared" si="15"/>
        <v>0</v>
      </c>
      <c r="L99" s="1598">
        <f>L100+L106</f>
        <v>0</v>
      </c>
      <c r="M99" s="1598">
        <f>SUM(F99:L99)</f>
        <v>165665</v>
      </c>
    </row>
    <row r="100" spans="1:13" ht="24" customHeight="1">
      <c r="A100" s="1593"/>
      <c r="B100" s="1599"/>
      <c r="C100" s="1600" t="s">
        <v>602</v>
      </c>
      <c r="D100" s="1601"/>
      <c r="E100" s="1315" t="s">
        <v>1030</v>
      </c>
      <c r="F100" s="1502">
        <f>F102+6160</f>
        <v>165665</v>
      </c>
      <c r="G100" s="1316">
        <v>0</v>
      </c>
      <c r="H100" s="1316"/>
      <c r="I100" s="1316">
        <v>0</v>
      </c>
      <c r="J100" s="1316"/>
      <c r="K100" s="1316">
        <v>0</v>
      </c>
      <c r="L100" s="1316">
        <v>0</v>
      </c>
      <c r="M100" s="1502">
        <f>F100+G100+H100+I100+J100+K100+L100</f>
        <v>165665</v>
      </c>
    </row>
    <row r="101" spans="1:13" ht="16.5" customHeight="1">
      <c r="A101" s="1593"/>
      <c r="B101" s="1599"/>
      <c r="C101" s="1600"/>
      <c r="D101" s="1602"/>
      <c r="E101" s="1603" t="s">
        <v>706</v>
      </c>
      <c r="F101" s="1502"/>
      <c r="G101" s="1502"/>
      <c r="H101" s="1502"/>
      <c r="I101" s="1502"/>
      <c r="J101" s="1502"/>
      <c r="K101" s="1502"/>
      <c r="L101" s="1502"/>
      <c r="M101" s="1502"/>
    </row>
    <row r="102" spans="1:13" ht="24" customHeight="1">
      <c r="A102" s="1593"/>
      <c r="B102" s="1599"/>
      <c r="C102" s="1600"/>
      <c r="D102" s="1602">
        <v>1</v>
      </c>
      <c r="E102" s="1604" t="s">
        <v>1031</v>
      </c>
      <c r="F102" s="1502">
        <f>115365+15177+25353+3610</f>
        <v>159505</v>
      </c>
      <c r="G102" s="1502">
        <v>0</v>
      </c>
      <c r="H102" s="1502"/>
      <c r="I102" s="1502">
        <v>0</v>
      </c>
      <c r="J102" s="1502"/>
      <c r="K102" s="1502">
        <v>0</v>
      </c>
      <c r="L102" s="1502">
        <v>0</v>
      </c>
      <c r="M102" s="1502">
        <f>F102+G102+H102+I102+J102+K102+L102</f>
        <v>159505</v>
      </c>
    </row>
    <row r="103" spans="1:13" ht="24" customHeight="1">
      <c r="A103" s="1593"/>
      <c r="B103" s="1599"/>
      <c r="C103" s="1600"/>
      <c r="D103" s="1602">
        <v>2</v>
      </c>
      <c r="E103" s="1320" t="s">
        <v>1032</v>
      </c>
      <c r="F103" s="1502"/>
      <c r="G103" s="1502">
        <v>0</v>
      </c>
      <c r="H103" s="1502"/>
      <c r="I103" s="1502">
        <v>0</v>
      </c>
      <c r="J103" s="1502"/>
      <c r="K103" s="1502">
        <v>0</v>
      </c>
      <c r="L103" s="1502">
        <v>0</v>
      </c>
      <c r="M103" s="1502">
        <f>F103+G103+H103+I103+J103+K103+L103</f>
        <v>0</v>
      </c>
    </row>
    <row r="104" spans="1:13" ht="24" customHeight="1">
      <c r="A104" s="1593"/>
      <c r="B104" s="1599"/>
      <c r="C104" s="1600"/>
      <c r="D104" s="1602">
        <v>3</v>
      </c>
      <c r="E104" s="1320" t="s">
        <v>1033</v>
      </c>
      <c r="F104" s="1502"/>
      <c r="G104" s="1502">
        <v>0</v>
      </c>
      <c r="H104" s="1502"/>
      <c r="I104" s="1502">
        <v>0</v>
      </c>
      <c r="J104" s="1502"/>
      <c r="K104" s="1502">
        <v>0</v>
      </c>
      <c r="L104" s="1502">
        <v>0</v>
      </c>
      <c r="M104" s="1502">
        <f>F104+G104+H104+I104+J104+K104+L104</f>
        <v>0</v>
      </c>
    </row>
    <row r="105" spans="1:13" ht="24" customHeight="1">
      <c r="A105" s="1593"/>
      <c r="B105" s="1599"/>
      <c r="C105" s="1600"/>
      <c r="D105" s="1602">
        <v>4</v>
      </c>
      <c r="E105" s="1320" t="s">
        <v>1034</v>
      </c>
      <c r="F105" s="1502"/>
      <c r="G105" s="1502">
        <v>0</v>
      </c>
      <c r="H105" s="1502"/>
      <c r="I105" s="1502">
        <v>0</v>
      </c>
      <c r="J105" s="1502"/>
      <c r="K105" s="1502">
        <v>0</v>
      </c>
      <c r="L105" s="1502">
        <v>0</v>
      </c>
      <c r="M105" s="1502">
        <f>F105+G105+H105+I105+J105+K105+L105</f>
        <v>0</v>
      </c>
    </row>
    <row r="106" spans="1:13" ht="24" customHeight="1">
      <c r="A106" s="1593"/>
      <c r="B106" s="1599"/>
      <c r="C106" s="1605" t="s">
        <v>121</v>
      </c>
      <c r="D106" s="1601"/>
      <c r="E106" s="1315" t="s">
        <v>1035</v>
      </c>
      <c r="F106" s="1316"/>
      <c r="G106" s="1316">
        <v>0</v>
      </c>
      <c r="H106" s="1316"/>
      <c r="I106" s="1316">
        <v>0</v>
      </c>
      <c r="J106" s="1316"/>
      <c r="K106" s="1316">
        <v>0</v>
      </c>
      <c r="L106" s="1316">
        <v>0</v>
      </c>
      <c r="M106" s="1316">
        <f>F106+G106+H106+I106+J106+K106+L106</f>
        <v>0</v>
      </c>
    </row>
    <row r="107" spans="1:13" ht="17.25" customHeight="1">
      <c r="A107" s="1593"/>
      <c r="B107" s="1599"/>
      <c r="C107" s="1600"/>
      <c r="D107" s="1602"/>
      <c r="E107" s="1603" t="s">
        <v>706</v>
      </c>
      <c r="F107" s="1502"/>
      <c r="G107" s="1502"/>
      <c r="H107" s="1502"/>
      <c r="I107" s="1502"/>
      <c r="J107" s="1502"/>
      <c r="K107" s="1502"/>
      <c r="L107" s="1502"/>
      <c r="M107" s="1502"/>
    </row>
    <row r="108" spans="1:13" ht="38.25" customHeight="1">
      <c r="A108" s="1593"/>
      <c r="B108" s="1599"/>
      <c r="C108" s="1600"/>
      <c r="D108" s="1602">
        <v>1</v>
      </c>
      <c r="E108" s="1320" t="s">
        <v>1036</v>
      </c>
      <c r="F108" s="1502"/>
      <c r="G108" s="1502">
        <v>0</v>
      </c>
      <c r="H108" s="1502"/>
      <c r="I108" s="1502">
        <v>0</v>
      </c>
      <c r="J108" s="1502"/>
      <c r="K108" s="1502">
        <v>0</v>
      </c>
      <c r="L108" s="1502">
        <v>0</v>
      </c>
      <c r="M108" s="1502">
        <f>SUM(F108:L108)</f>
        <v>0</v>
      </c>
    </row>
    <row r="109" spans="1:13" ht="36" customHeight="1">
      <c r="A109" s="1593"/>
      <c r="B109" s="1594">
        <v>75020</v>
      </c>
      <c r="C109" s="1595"/>
      <c r="D109" s="1596"/>
      <c r="E109" s="1597" t="s">
        <v>740</v>
      </c>
      <c r="F109" s="1598">
        <f aca="true" t="shared" si="16" ref="F109:L109">F110+F116</f>
        <v>0</v>
      </c>
      <c r="G109" s="1598">
        <f t="shared" si="16"/>
        <v>0</v>
      </c>
      <c r="H109" s="1598">
        <f>H110+H116</f>
        <v>0</v>
      </c>
      <c r="I109" s="1598">
        <f t="shared" si="16"/>
        <v>0</v>
      </c>
      <c r="J109" s="1598">
        <f>J110+J116</f>
        <v>34000</v>
      </c>
      <c r="K109" s="1598">
        <f t="shared" si="16"/>
        <v>0</v>
      </c>
      <c r="L109" s="1598">
        <f t="shared" si="16"/>
        <v>0</v>
      </c>
      <c r="M109" s="1598">
        <f>SUM(F109:L109)</f>
        <v>34000</v>
      </c>
    </row>
    <row r="110" spans="1:13" ht="24" customHeight="1">
      <c r="A110" s="1593"/>
      <c r="B110" s="1599"/>
      <c r="C110" s="1600" t="s">
        <v>602</v>
      </c>
      <c r="D110" s="1601"/>
      <c r="E110" s="1315" t="s">
        <v>1030</v>
      </c>
      <c r="F110" s="1316">
        <v>0</v>
      </c>
      <c r="G110" s="1316">
        <v>0</v>
      </c>
      <c r="H110" s="1316">
        <v>0</v>
      </c>
      <c r="I110" s="1316">
        <v>0</v>
      </c>
      <c r="J110" s="1316">
        <v>0</v>
      </c>
      <c r="K110" s="1316">
        <v>0</v>
      </c>
      <c r="L110" s="1316">
        <v>0</v>
      </c>
      <c r="M110" s="1502">
        <f>F110+G110+H110+I110+J110+K110+L110</f>
        <v>0</v>
      </c>
    </row>
    <row r="111" spans="1:13" ht="16.5" customHeight="1">
      <c r="A111" s="1593"/>
      <c r="B111" s="1599"/>
      <c r="C111" s="1600"/>
      <c r="D111" s="1602"/>
      <c r="E111" s="1603" t="s">
        <v>706</v>
      </c>
      <c r="F111" s="1502"/>
      <c r="G111" s="1502"/>
      <c r="H111" s="1502"/>
      <c r="I111" s="1502"/>
      <c r="J111" s="1502"/>
      <c r="K111" s="1502"/>
      <c r="L111" s="1502"/>
      <c r="M111" s="1502"/>
    </row>
    <row r="112" spans="1:13" ht="24" customHeight="1">
      <c r="A112" s="1593"/>
      <c r="B112" s="1599"/>
      <c r="C112" s="1600"/>
      <c r="D112" s="1602">
        <v>1</v>
      </c>
      <c r="E112" s="1604" t="s">
        <v>1031</v>
      </c>
      <c r="F112" s="1502">
        <v>0</v>
      </c>
      <c r="G112" s="1502">
        <v>0</v>
      </c>
      <c r="H112" s="1502">
        <v>0</v>
      </c>
      <c r="I112" s="1502">
        <v>0</v>
      </c>
      <c r="J112" s="1502">
        <v>0</v>
      </c>
      <c r="K112" s="1502">
        <v>0</v>
      </c>
      <c r="L112" s="1502">
        <v>0</v>
      </c>
      <c r="M112" s="1502">
        <f>F112+G112+H112+I112+J112+K112+L112</f>
        <v>0</v>
      </c>
    </row>
    <row r="113" spans="1:13" ht="24" customHeight="1">
      <c r="A113" s="1593"/>
      <c r="B113" s="1599"/>
      <c r="C113" s="1600"/>
      <c r="D113" s="1602">
        <v>2</v>
      </c>
      <c r="E113" s="1320" t="s">
        <v>1032</v>
      </c>
      <c r="F113" s="1502">
        <v>0</v>
      </c>
      <c r="G113" s="1502">
        <v>0</v>
      </c>
      <c r="H113" s="1502">
        <v>0</v>
      </c>
      <c r="I113" s="1502">
        <v>0</v>
      </c>
      <c r="J113" s="1502">
        <v>0</v>
      </c>
      <c r="K113" s="1502">
        <v>0</v>
      </c>
      <c r="L113" s="1502">
        <v>0</v>
      </c>
      <c r="M113" s="1502">
        <f>F113+G113+H113+I113+J113+K113+L113</f>
        <v>0</v>
      </c>
    </row>
    <row r="114" spans="1:13" ht="24" customHeight="1">
      <c r="A114" s="1593"/>
      <c r="B114" s="1599"/>
      <c r="C114" s="1600"/>
      <c r="D114" s="1602">
        <v>3</v>
      </c>
      <c r="E114" s="1320" t="s">
        <v>1033</v>
      </c>
      <c r="F114" s="1502">
        <v>0</v>
      </c>
      <c r="G114" s="1502">
        <v>0</v>
      </c>
      <c r="H114" s="1502">
        <v>0</v>
      </c>
      <c r="I114" s="1502">
        <v>0</v>
      </c>
      <c r="J114" s="1502">
        <v>0</v>
      </c>
      <c r="K114" s="1502">
        <v>0</v>
      </c>
      <c r="L114" s="1502">
        <v>0</v>
      </c>
      <c r="M114" s="1502">
        <f>F114+G114+H114+I114+J114+K114+L114</f>
        <v>0</v>
      </c>
    </row>
    <row r="115" spans="1:13" ht="24" customHeight="1">
      <c r="A115" s="1593"/>
      <c r="B115" s="1599"/>
      <c r="C115" s="1600"/>
      <c r="D115" s="1602">
        <v>4</v>
      </c>
      <c r="E115" s="1320" t="s">
        <v>1034</v>
      </c>
      <c r="F115" s="1502">
        <v>0</v>
      </c>
      <c r="G115" s="1502">
        <v>0</v>
      </c>
      <c r="H115" s="1502">
        <v>0</v>
      </c>
      <c r="I115" s="1502">
        <v>0</v>
      </c>
      <c r="J115" s="1502">
        <v>0</v>
      </c>
      <c r="K115" s="1502">
        <v>0</v>
      </c>
      <c r="L115" s="1502">
        <v>0</v>
      </c>
      <c r="M115" s="1502">
        <f>F115+G115+H115+I115+J115+K115+L115</f>
        <v>0</v>
      </c>
    </row>
    <row r="116" spans="1:13" ht="24" customHeight="1">
      <c r="A116" s="1593"/>
      <c r="B116" s="1599"/>
      <c r="C116" s="1605" t="s">
        <v>121</v>
      </c>
      <c r="D116" s="1601"/>
      <c r="E116" s="1315" t="s">
        <v>1035</v>
      </c>
      <c r="F116" s="1316">
        <v>0</v>
      </c>
      <c r="G116" s="1316">
        <v>0</v>
      </c>
      <c r="H116" s="1316">
        <f>H118</f>
        <v>0</v>
      </c>
      <c r="I116" s="1316">
        <f>I118</f>
        <v>0</v>
      </c>
      <c r="J116" s="1316">
        <f>J118</f>
        <v>34000</v>
      </c>
      <c r="K116" s="1316">
        <v>0</v>
      </c>
      <c r="L116" s="1316">
        <v>0</v>
      </c>
      <c r="M116" s="1316">
        <f>F116+G116+H116+I116+J116+K116+L116</f>
        <v>34000</v>
      </c>
    </row>
    <row r="117" spans="1:13" ht="17.25" customHeight="1">
      <c r="A117" s="1593"/>
      <c r="B117" s="1599"/>
      <c r="C117" s="1600"/>
      <c r="D117" s="1602"/>
      <c r="E117" s="1603" t="s">
        <v>706</v>
      </c>
      <c r="F117" s="1502"/>
      <c r="G117" s="1502"/>
      <c r="H117" s="1502"/>
      <c r="I117" s="1502"/>
      <c r="J117" s="1502"/>
      <c r="K117" s="1502"/>
      <c r="L117" s="1502"/>
      <c r="M117" s="1502"/>
    </row>
    <row r="118" spans="1:13" ht="38.25" customHeight="1">
      <c r="A118" s="1593"/>
      <c r="B118" s="1599"/>
      <c r="C118" s="1600"/>
      <c r="D118" s="1602">
        <v>1</v>
      </c>
      <c r="E118" s="1320" t="s">
        <v>1036</v>
      </c>
      <c r="F118" s="1502">
        <v>0</v>
      </c>
      <c r="G118" s="1502">
        <v>0</v>
      </c>
      <c r="H118" s="1502">
        <v>0</v>
      </c>
      <c r="I118" s="1502">
        <v>0</v>
      </c>
      <c r="J118" s="1502">
        <v>34000</v>
      </c>
      <c r="K118" s="1502">
        <v>0</v>
      </c>
      <c r="L118" s="1502">
        <v>0</v>
      </c>
      <c r="M118" s="1502">
        <f>SUM(F118:L118)</f>
        <v>34000</v>
      </c>
    </row>
    <row r="119" spans="1:13" ht="36" customHeight="1">
      <c r="A119" s="1593"/>
      <c r="B119" s="1594" t="s">
        <v>1043</v>
      </c>
      <c r="C119" s="1595"/>
      <c r="D119" s="1596"/>
      <c r="E119" s="1597" t="s">
        <v>1044</v>
      </c>
      <c r="F119" s="1598">
        <f aca="true" t="shared" si="17" ref="F119:L119">F120+F126</f>
        <v>0</v>
      </c>
      <c r="G119" s="1598">
        <f t="shared" si="17"/>
        <v>0</v>
      </c>
      <c r="H119" s="1598">
        <f>H120+H126</f>
        <v>0</v>
      </c>
      <c r="I119" s="1598">
        <f>I120+I126</f>
        <v>0</v>
      </c>
      <c r="J119" s="1598">
        <f>J120+J126</f>
        <v>0</v>
      </c>
      <c r="K119" s="1598">
        <f t="shared" si="17"/>
        <v>0</v>
      </c>
      <c r="L119" s="1598">
        <f t="shared" si="17"/>
        <v>260500</v>
      </c>
      <c r="M119" s="1598">
        <f>SUM(F119:L119)</f>
        <v>260500</v>
      </c>
    </row>
    <row r="120" spans="1:13" ht="24" customHeight="1">
      <c r="A120" s="1593"/>
      <c r="B120" s="1599"/>
      <c r="C120" s="1600" t="s">
        <v>602</v>
      </c>
      <c r="D120" s="1601"/>
      <c r="E120" s="1315" t="s">
        <v>1030</v>
      </c>
      <c r="F120" s="1316">
        <v>0</v>
      </c>
      <c r="G120" s="1316">
        <v>0</v>
      </c>
      <c r="H120" s="1316">
        <v>0</v>
      </c>
      <c r="I120" s="1316">
        <v>0</v>
      </c>
      <c r="J120" s="1316">
        <v>0</v>
      </c>
      <c r="K120" s="1316">
        <v>0</v>
      </c>
      <c r="L120" s="1316">
        <f>22500+185000+14000+9000+10000+5000+15000</f>
        <v>260500</v>
      </c>
      <c r="M120" s="1502">
        <f>F120+G120+H120+I120+J120+K120+L120</f>
        <v>260500</v>
      </c>
    </row>
    <row r="121" spans="1:13" ht="16.5" customHeight="1">
      <c r="A121" s="1593"/>
      <c r="B121" s="1599"/>
      <c r="C121" s="1600"/>
      <c r="D121" s="1602"/>
      <c r="E121" s="1603" t="s">
        <v>706</v>
      </c>
      <c r="F121" s="1502"/>
      <c r="G121" s="1502"/>
      <c r="H121" s="1502"/>
      <c r="I121" s="1502"/>
      <c r="J121" s="1502"/>
      <c r="K121" s="1502"/>
      <c r="L121" s="1502"/>
      <c r="M121" s="1502"/>
    </row>
    <row r="122" spans="1:13" ht="24" customHeight="1">
      <c r="A122" s="1593"/>
      <c r="B122" s="1599"/>
      <c r="C122" s="1600"/>
      <c r="D122" s="1602">
        <v>1</v>
      </c>
      <c r="E122" s="1604" t="s">
        <v>1031</v>
      </c>
      <c r="F122" s="1502">
        <v>0</v>
      </c>
      <c r="G122" s="1502">
        <v>0</v>
      </c>
      <c r="H122" s="1502">
        <v>0</v>
      </c>
      <c r="I122" s="1502">
        <v>0</v>
      </c>
      <c r="J122" s="1502">
        <v>0</v>
      </c>
      <c r="K122" s="1502">
        <v>0</v>
      </c>
      <c r="L122" s="1502">
        <v>5000</v>
      </c>
      <c r="M122" s="1502">
        <f>F122+G122+H122+I122+J122+K122+L122</f>
        <v>5000</v>
      </c>
    </row>
    <row r="123" spans="1:13" ht="24" customHeight="1">
      <c r="A123" s="1593"/>
      <c r="B123" s="1599"/>
      <c r="C123" s="1600"/>
      <c r="D123" s="1602">
        <v>2</v>
      </c>
      <c r="E123" s="1320" t="s">
        <v>1032</v>
      </c>
      <c r="F123" s="1502">
        <v>0</v>
      </c>
      <c r="G123" s="1502">
        <v>0</v>
      </c>
      <c r="H123" s="1502">
        <v>0</v>
      </c>
      <c r="I123" s="1502">
        <v>0</v>
      </c>
      <c r="J123" s="1502">
        <v>0</v>
      </c>
      <c r="K123" s="1502">
        <v>0</v>
      </c>
      <c r="L123" s="1502">
        <v>0</v>
      </c>
      <c r="M123" s="1502">
        <f>F123+G123+H123+I123+J123+K123+L123</f>
        <v>0</v>
      </c>
    </row>
    <row r="124" spans="1:13" ht="24" customHeight="1">
      <c r="A124" s="1593"/>
      <c r="B124" s="1599"/>
      <c r="C124" s="1600"/>
      <c r="D124" s="1602">
        <v>3</v>
      </c>
      <c r="E124" s="1320" t="s">
        <v>1033</v>
      </c>
      <c r="F124" s="1502">
        <v>0</v>
      </c>
      <c r="G124" s="1502">
        <v>0</v>
      </c>
      <c r="H124" s="1502">
        <v>0</v>
      </c>
      <c r="I124" s="1502">
        <v>0</v>
      </c>
      <c r="J124" s="1502">
        <v>0</v>
      </c>
      <c r="K124" s="1502">
        <v>0</v>
      </c>
      <c r="L124" s="1502">
        <v>0</v>
      </c>
      <c r="M124" s="1502">
        <f>F124+G124+H124+I124+J124+K124+L124</f>
        <v>0</v>
      </c>
    </row>
    <row r="125" spans="1:13" ht="24" customHeight="1">
      <c r="A125" s="1593"/>
      <c r="B125" s="1599"/>
      <c r="C125" s="1600"/>
      <c r="D125" s="1602">
        <v>4</v>
      </c>
      <c r="E125" s="1320" t="s">
        <v>1034</v>
      </c>
      <c r="F125" s="1502">
        <v>0</v>
      </c>
      <c r="G125" s="1502">
        <v>0</v>
      </c>
      <c r="H125" s="1502">
        <v>0</v>
      </c>
      <c r="I125" s="1502">
        <v>0</v>
      </c>
      <c r="J125" s="1502">
        <v>0</v>
      </c>
      <c r="K125" s="1502">
        <v>0</v>
      </c>
      <c r="L125" s="1502">
        <v>0</v>
      </c>
      <c r="M125" s="1502">
        <f>F125+G125+H125+I125+J125+K125+L125</f>
        <v>0</v>
      </c>
    </row>
    <row r="126" spans="1:13" ht="24" customHeight="1">
      <c r="A126" s="1593"/>
      <c r="B126" s="1599"/>
      <c r="C126" s="1605" t="s">
        <v>121</v>
      </c>
      <c r="D126" s="1601"/>
      <c r="E126" s="1315" t="s">
        <v>1035</v>
      </c>
      <c r="F126" s="1316">
        <v>0</v>
      </c>
      <c r="G126" s="1316">
        <v>0</v>
      </c>
      <c r="H126" s="1316">
        <v>0</v>
      </c>
      <c r="I126" s="1316">
        <v>0</v>
      </c>
      <c r="J126" s="1316">
        <v>0</v>
      </c>
      <c r="K126" s="1316">
        <v>0</v>
      </c>
      <c r="L126" s="1316">
        <v>0</v>
      </c>
      <c r="M126" s="1316">
        <f>F126+G126+H126+I126+J126+K126+L126</f>
        <v>0</v>
      </c>
    </row>
    <row r="127" spans="1:13" ht="17.25" customHeight="1">
      <c r="A127" s="1593"/>
      <c r="B127" s="1599"/>
      <c r="C127" s="1600"/>
      <c r="D127" s="1602"/>
      <c r="E127" s="1603" t="s">
        <v>706</v>
      </c>
      <c r="F127" s="1502"/>
      <c r="G127" s="1502"/>
      <c r="H127" s="1502"/>
      <c r="I127" s="1502"/>
      <c r="J127" s="1502"/>
      <c r="K127" s="1502"/>
      <c r="L127" s="1502"/>
      <c r="M127" s="1502"/>
    </row>
    <row r="128" spans="1:13" ht="38.25" customHeight="1">
      <c r="A128" s="1593"/>
      <c r="B128" s="1599"/>
      <c r="C128" s="1600"/>
      <c r="D128" s="1602">
        <v>1</v>
      </c>
      <c r="E128" s="1320" t="s">
        <v>1036</v>
      </c>
      <c r="F128" s="1502">
        <v>0</v>
      </c>
      <c r="G128" s="1502">
        <v>0</v>
      </c>
      <c r="H128" s="1502">
        <v>0</v>
      </c>
      <c r="I128" s="1502">
        <v>0</v>
      </c>
      <c r="J128" s="1502">
        <v>0</v>
      </c>
      <c r="K128" s="1502">
        <v>0</v>
      </c>
      <c r="L128" s="1502">
        <v>0</v>
      </c>
      <c r="M128" s="1502">
        <f>SUM(F128:L128)</f>
        <v>0</v>
      </c>
    </row>
    <row r="129" spans="1:13" ht="36" customHeight="1">
      <c r="A129" s="1593"/>
      <c r="B129" s="1594" t="s">
        <v>1045</v>
      </c>
      <c r="C129" s="1595"/>
      <c r="D129" s="1596"/>
      <c r="E129" s="1597" t="s">
        <v>1046</v>
      </c>
      <c r="F129" s="1598">
        <f aca="true" t="shared" si="18" ref="F129:L129">F130+F136</f>
        <v>0</v>
      </c>
      <c r="G129" s="1598">
        <f t="shared" si="18"/>
        <v>0</v>
      </c>
      <c r="H129" s="1598">
        <f t="shared" si="18"/>
        <v>0</v>
      </c>
      <c r="I129" s="1598">
        <f t="shared" si="18"/>
        <v>0</v>
      </c>
      <c r="J129" s="1598">
        <f t="shared" si="18"/>
        <v>0</v>
      </c>
      <c r="K129" s="1598">
        <f t="shared" si="18"/>
        <v>0</v>
      </c>
      <c r="L129" s="1598">
        <f t="shared" si="18"/>
        <v>3911243</v>
      </c>
      <c r="M129" s="1598">
        <f>SUM(F129:L129)</f>
        <v>3911243</v>
      </c>
    </row>
    <row r="130" spans="1:13" ht="24" customHeight="1">
      <c r="A130" s="1593"/>
      <c r="B130" s="1599"/>
      <c r="C130" s="1600" t="s">
        <v>602</v>
      </c>
      <c r="D130" s="1601"/>
      <c r="E130" s="1315" t="s">
        <v>1030</v>
      </c>
      <c r="F130" s="1316">
        <v>0</v>
      </c>
      <c r="G130" s="1316">
        <v>0</v>
      </c>
      <c r="H130" s="1316">
        <v>0</v>
      </c>
      <c r="I130" s="1316">
        <v>0</v>
      </c>
      <c r="J130" s="1316">
        <v>0</v>
      </c>
      <c r="K130" s="1316">
        <v>0</v>
      </c>
      <c r="L130" s="1316">
        <f>3126743+863000-80000-20000-20000-30000+26500-5000</f>
        <v>3861243</v>
      </c>
      <c r="M130" s="1502">
        <f>F130+G130+H130+I130+J130+K130+L130</f>
        <v>3861243</v>
      </c>
    </row>
    <row r="131" spans="1:13" ht="19.5" customHeight="1">
      <c r="A131" s="1593"/>
      <c r="B131" s="1599"/>
      <c r="C131" s="1600"/>
      <c r="D131" s="1602"/>
      <c r="E131" s="1603" t="s">
        <v>706</v>
      </c>
      <c r="F131" s="1502"/>
      <c r="G131" s="1502"/>
      <c r="H131" s="1502"/>
      <c r="I131" s="1502"/>
      <c r="J131" s="1502"/>
      <c r="K131" s="1502"/>
      <c r="L131" s="1502"/>
      <c r="M131" s="1502"/>
    </row>
    <row r="132" spans="1:13" ht="24" customHeight="1">
      <c r="A132" s="1593"/>
      <c r="B132" s="1599"/>
      <c r="C132" s="1600"/>
      <c r="D132" s="1602">
        <v>1</v>
      </c>
      <c r="E132" s="1604" t="s">
        <v>1031</v>
      </c>
      <c r="F132" s="1502">
        <v>0</v>
      </c>
      <c r="G132" s="1502">
        <v>0</v>
      </c>
      <c r="H132" s="1502">
        <v>0</v>
      </c>
      <c r="I132" s="1502">
        <v>0</v>
      </c>
      <c r="J132" s="1502">
        <v>0</v>
      </c>
      <c r="K132" s="1502">
        <v>0</v>
      </c>
      <c r="L132" s="1502">
        <f>2393997+162492+502380+10000</f>
        <v>3068869</v>
      </c>
      <c r="M132" s="1502">
        <f>F132+G132+H132+I132+J132+K132+L132</f>
        <v>3068869</v>
      </c>
    </row>
    <row r="133" spans="1:13" ht="24" customHeight="1">
      <c r="A133" s="1593"/>
      <c r="B133" s="1599"/>
      <c r="C133" s="1600"/>
      <c r="D133" s="1602">
        <v>2</v>
      </c>
      <c r="E133" s="1320" t="s">
        <v>1032</v>
      </c>
      <c r="F133" s="1502">
        <v>0</v>
      </c>
      <c r="G133" s="1502">
        <v>0</v>
      </c>
      <c r="H133" s="1502">
        <v>0</v>
      </c>
      <c r="I133" s="1502">
        <v>0</v>
      </c>
      <c r="J133" s="1502">
        <v>0</v>
      </c>
      <c r="K133" s="1502">
        <v>0</v>
      </c>
      <c r="L133" s="1502">
        <v>0</v>
      </c>
      <c r="M133" s="1502">
        <f>F133+G133+H133+I133+J133+K133+L133</f>
        <v>0</v>
      </c>
    </row>
    <row r="134" spans="1:13" ht="24" customHeight="1">
      <c r="A134" s="1593"/>
      <c r="B134" s="1599"/>
      <c r="C134" s="1600"/>
      <c r="D134" s="1602">
        <v>3</v>
      </c>
      <c r="E134" s="1320" t="s">
        <v>1033</v>
      </c>
      <c r="F134" s="1502">
        <v>0</v>
      </c>
      <c r="G134" s="1502">
        <v>0</v>
      </c>
      <c r="H134" s="1502">
        <v>0</v>
      </c>
      <c r="I134" s="1502">
        <v>0</v>
      </c>
      <c r="J134" s="1502">
        <v>0</v>
      </c>
      <c r="K134" s="1502">
        <v>0</v>
      </c>
      <c r="L134" s="1502">
        <v>0</v>
      </c>
      <c r="M134" s="1502">
        <f>F134+G134+H134+I134+J134+K134+L134</f>
        <v>0</v>
      </c>
    </row>
    <row r="135" spans="1:13" ht="24" customHeight="1">
      <c r="A135" s="1593"/>
      <c r="B135" s="1599"/>
      <c r="C135" s="1600"/>
      <c r="D135" s="1602">
        <v>4</v>
      </c>
      <c r="E135" s="1320" t="s">
        <v>1034</v>
      </c>
      <c r="F135" s="1502">
        <v>0</v>
      </c>
      <c r="G135" s="1502">
        <v>0</v>
      </c>
      <c r="H135" s="1502">
        <v>0</v>
      </c>
      <c r="I135" s="1502">
        <v>0</v>
      </c>
      <c r="J135" s="1502">
        <v>0</v>
      </c>
      <c r="K135" s="1502">
        <v>0</v>
      </c>
      <c r="L135" s="1502">
        <v>0</v>
      </c>
      <c r="M135" s="1502">
        <f>F135+G135+H135+I135+J135+K135+L135</f>
        <v>0</v>
      </c>
    </row>
    <row r="136" spans="1:13" ht="24" customHeight="1">
      <c r="A136" s="1593"/>
      <c r="B136" s="1599"/>
      <c r="C136" s="1605" t="s">
        <v>121</v>
      </c>
      <c r="D136" s="1601"/>
      <c r="E136" s="1315" t="s">
        <v>1035</v>
      </c>
      <c r="F136" s="1316">
        <f aca="true" t="shared" si="19" ref="F136:L136">F138</f>
        <v>0</v>
      </c>
      <c r="G136" s="1316">
        <f t="shared" si="19"/>
        <v>0</v>
      </c>
      <c r="H136" s="1316">
        <f t="shared" si="19"/>
        <v>0</v>
      </c>
      <c r="I136" s="1316">
        <f t="shared" si="19"/>
        <v>0</v>
      </c>
      <c r="J136" s="1316">
        <f t="shared" si="19"/>
        <v>0</v>
      </c>
      <c r="K136" s="1316">
        <f t="shared" si="19"/>
        <v>0</v>
      </c>
      <c r="L136" s="1316">
        <f t="shared" si="19"/>
        <v>50000</v>
      </c>
      <c r="M136" s="1316">
        <f>F136+G136+H136+I136+J136+K136+L136</f>
        <v>50000</v>
      </c>
    </row>
    <row r="137" spans="1:13" ht="21" customHeight="1">
      <c r="A137" s="1593"/>
      <c r="B137" s="1599"/>
      <c r="C137" s="1600"/>
      <c r="D137" s="1602"/>
      <c r="E137" s="1603" t="s">
        <v>706</v>
      </c>
      <c r="F137" s="1502"/>
      <c r="G137" s="1502"/>
      <c r="H137" s="1502"/>
      <c r="I137" s="1502"/>
      <c r="J137" s="1502"/>
      <c r="K137" s="1502"/>
      <c r="L137" s="1502"/>
      <c r="M137" s="1502"/>
    </row>
    <row r="138" spans="1:13" ht="43.5" customHeight="1">
      <c r="A138" s="1593"/>
      <c r="B138" s="1599"/>
      <c r="C138" s="1600"/>
      <c r="D138" s="1602">
        <v>1</v>
      </c>
      <c r="E138" s="1320" t="s">
        <v>1036</v>
      </c>
      <c r="F138" s="1502">
        <v>0</v>
      </c>
      <c r="G138" s="1502">
        <v>0</v>
      </c>
      <c r="H138" s="1502">
        <v>0</v>
      </c>
      <c r="I138" s="1502">
        <v>0</v>
      </c>
      <c r="J138" s="1502">
        <v>0</v>
      </c>
      <c r="K138" s="1502">
        <v>0</v>
      </c>
      <c r="L138" s="1502">
        <f>20000+30000</f>
        <v>50000</v>
      </c>
      <c r="M138" s="1502">
        <f>SUM(F138:L138)</f>
        <v>50000</v>
      </c>
    </row>
    <row r="139" spans="1:13" ht="36" customHeight="1">
      <c r="A139" s="1593"/>
      <c r="B139" s="1594">
        <v>75075</v>
      </c>
      <c r="C139" s="1595"/>
      <c r="D139" s="1596"/>
      <c r="E139" s="1597" t="s">
        <v>1047</v>
      </c>
      <c r="F139" s="1598">
        <f aca="true" t="shared" si="20" ref="F139:L139">F140+F146</f>
        <v>0</v>
      </c>
      <c r="G139" s="1598">
        <f t="shared" si="20"/>
        <v>0</v>
      </c>
      <c r="H139" s="1598">
        <f t="shared" si="20"/>
        <v>0</v>
      </c>
      <c r="I139" s="1598">
        <f t="shared" si="20"/>
        <v>0</v>
      </c>
      <c r="J139" s="1598">
        <f t="shared" si="20"/>
        <v>0</v>
      </c>
      <c r="K139" s="1598">
        <f t="shared" si="20"/>
        <v>0</v>
      </c>
      <c r="L139" s="1598">
        <f t="shared" si="20"/>
        <v>60000</v>
      </c>
      <c r="M139" s="1598">
        <f>SUM(F139:L139)</f>
        <v>60000</v>
      </c>
    </row>
    <row r="140" spans="1:13" ht="24" customHeight="1">
      <c r="A140" s="1593"/>
      <c r="B140" s="1599"/>
      <c r="C140" s="1600" t="s">
        <v>602</v>
      </c>
      <c r="D140" s="1601"/>
      <c r="E140" s="1315" t="s">
        <v>1030</v>
      </c>
      <c r="F140" s="1316">
        <v>0</v>
      </c>
      <c r="G140" s="1316">
        <v>0</v>
      </c>
      <c r="H140" s="1316">
        <v>0</v>
      </c>
      <c r="I140" s="1316">
        <v>0</v>
      </c>
      <c r="J140" s="1316">
        <v>0</v>
      </c>
      <c r="K140" s="1316">
        <v>0</v>
      </c>
      <c r="L140" s="1316">
        <v>60000</v>
      </c>
      <c r="M140" s="1502">
        <f>F140+G140+H140+I140+J140+K140+L140</f>
        <v>60000</v>
      </c>
    </row>
    <row r="141" spans="1:13" ht="19.5" customHeight="1">
      <c r="A141" s="1593"/>
      <c r="B141" s="1599"/>
      <c r="C141" s="1600"/>
      <c r="D141" s="1602"/>
      <c r="E141" s="1603" t="s">
        <v>706</v>
      </c>
      <c r="F141" s="1502"/>
      <c r="G141" s="1502"/>
      <c r="H141" s="1502"/>
      <c r="I141" s="1502"/>
      <c r="J141" s="1502"/>
      <c r="K141" s="1502"/>
      <c r="L141" s="1502"/>
      <c r="M141" s="1502"/>
    </row>
    <row r="142" spans="1:13" ht="24" customHeight="1">
      <c r="A142" s="1593"/>
      <c r="B142" s="1599"/>
      <c r="C142" s="1600"/>
      <c r="D142" s="1602">
        <v>1</v>
      </c>
      <c r="E142" s="1604" t="s">
        <v>1031</v>
      </c>
      <c r="F142" s="1502">
        <v>0</v>
      </c>
      <c r="G142" s="1502">
        <v>0</v>
      </c>
      <c r="H142" s="1502">
        <v>0</v>
      </c>
      <c r="I142" s="1502">
        <v>0</v>
      </c>
      <c r="J142" s="1502">
        <v>0</v>
      </c>
      <c r="K142" s="1502">
        <v>0</v>
      </c>
      <c r="L142" s="1502">
        <v>0</v>
      </c>
      <c r="M142" s="1502">
        <f>F142+G142+H142+I142+J142+K142+L142</f>
        <v>0</v>
      </c>
    </row>
    <row r="143" spans="1:13" ht="24" customHeight="1">
      <c r="A143" s="1593"/>
      <c r="B143" s="1599"/>
      <c r="C143" s="1600"/>
      <c r="D143" s="1602">
        <v>2</v>
      </c>
      <c r="E143" s="1320" t="s">
        <v>1032</v>
      </c>
      <c r="F143" s="1502">
        <v>0</v>
      </c>
      <c r="G143" s="1502">
        <v>0</v>
      </c>
      <c r="H143" s="1502">
        <v>0</v>
      </c>
      <c r="I143" s="1502">
        <v>0</v>
      </c>
      <c r="J143" s="1502">
        <v>0</v>
      </c>
      <c r="K143" s="1502">
        <v>0</v>
      </c>
      <c r="L143" s="1502">
        <v>0</v>
      </c>
      <c r="M143" s="1502">
        <f>F143+G143+H143+I143+J143+K143+L143</f>
        <v>0</v>
      </c>
    </row>
    <row r="144" spans="1:13" ht="24" customHeight="1">
      <c r="A144" s="1593"/>
      <c r="B144" s="1599"/>
      <c r="C144" s="1600"/>
      <c r="D144" s="1602">
        <v>3</v>
      </c>
      <c r="E144" s="1320" t="s">
        <v>1033</v>
      </c>
      <c r="F144" s="1502">
        <v>0</v>
      </c>
      <c r="G144" s="1502">
        <v>0</v>
      </c>
      <c r="H144" s="1502">
        <v>0</v>
      </c>
      <c r="I144" s="1502">
        <v>0</v>
      </c>
      <c r="J144" s="1502">
        <v>0</v>
      </c>
      <c r="K144" s="1502">
        <v>0</v>
      </c>
      <c r="L144" s="1502">
        <v>0</v>
      </c>
      <c r="M144" s="1502">
        <f>F144+G144+H144+I144+J144+K144+L144</f>
        <v>0</v>
      </c>
    </row>
    <row r="145" spans="1:13" ht="24" customHeight="1">
      <c r="A145" s="1593"/>
      <c r="B145" s="1599"/>
      <c r="C145" s="1600"/>
      <c r="D145" s="1602">
        <v>4</v>
      </c>
      <c r="E145" s="1320" t="s">
        <v>1034</v>
      </c>
      <c r="F145" s="1502">
        <v>0</v>
      </c>
      <c r="G145" s="1502">
        <v>0</v>
      </c>
      <c r="H145" s="1502">
        <v>0</v>
      </c>
      <c r="I145" s="1502">
        <v>0</v>
      </c>
      <c r="J145" s="1502">
        <v>0</v>
      </c>
      <c r="K145" s="1502">
        <v>0</v>
      </c>
      <c r="L145" s="1502">
        <v>0</v>
      </c>
      <c r="M145" s="1502">
        <f>F145+G145+H145+I145+J145+K145+L145</f>
        <v>0</v>
      </c>
    </row>
    <row r="146" spans="1:13" ht="24" customHeight="1">
      <c r="A146" s="1593"/>
      <c r="B146" s="1599"/>
      <c r="C146" s="1605" t="s">
        <v>121</v>
      </c>
      <c r="D146" s="1601"/>
      <c r="E146" s="1315" t="s">
        <v>1035</v>
      </c>
      <c r="F146" s="1316">
        <f aca="true" t="shared" si="21" ref="F146:L146">F148</f>
        <v>0</v>
      </c>
      <c r="G146" s="1316">
        <f t="shared" si="21"/>
        <v>0</v>
      </c>
      <c r="H146" s="1316">
        <f t="shared" si="21"/>
        <v>0</v>
      </c>
      <c r="I146" s="1316">
        <f t="shared" si="21"/>
        <v>0</v>
      </c>
      <c r="J146" s="1316">
        <f t="shared" si="21"/>
        <v>0</v>
      </c>
      <c r="K146" s="1316">
        <f t="shared" si="21"/>
        <v>0</v>
      </c>
      <c r="L146" s="1316">
        <f t="shared" si="21"/>
        <v>0</v>
      </c>
      <c r="M146" s="1316">
        <f>F146+G146+H146+I146+J146+K146+L146</f>
        <v>0</v>
      </c>
    </row>
    <row r="147" spans="1:13" ht="21" customHeight="1">
      <c r="A147" s="1593"/>
      <c r="B147" s="1599"/>
      <c r="C147" s="1600"/>
      <c r="D147" s="1602"/>
      <c r="E147" s="1603" t="s">
        <v>706</v>
      </c>
      <c r="F147" s="1502"/>
      <c r="G147" s="1502"/>
      <c r="H147" s="1502"/>
      <c r="I147" s="1502"/>
      <c r="J147" s="1502"/>
      <c r="K147" s="1502"/>
      <c r="L147" s="1502"/>
      <c r="M147" s="1502"/>
    </row>
    <row r="148" spans="1:13" ht="43.5" customHeight="1">
      <c r="A148" s="1593"/>
      <c r="B148" s="1599"/>
      <c r="C148" s="1600"/>
      <c r="D148" s="1602">
        <v>1</v>
      </c>
      <c r="E148" s="1320" t="s">
        <v>1036</v>
      </c>
      <c r="F148" s="1502">
        <v>0</v>
      </c>
      <c r="G148" s="1502">
        <v>0</v>
      </c>
      <c r="H148" s="1502">
        <v>0</v>
      </c>
      <c r="I148" s="1502">
        <v>0</v>
      </c>
      <c r="J148" s="1502">
        <v>0</v>
      </c>
      <c r="K148" s="1502">
        <v>0</v>
      </c>
      <c r="L148" s="1502">
        <v>0</v>
      </c>
      <c r="M148" s="1502">
        <f>SUM(F148:L148)</f>
        <v>0</v>
      </c>
    </row>
    <row r="149" spans="1:13" ht="36" customHeight="1">
      <c r="A149" s="1593"/>
      <c r="B149" s="1594">
        <v>75095</v>
      </c>
      <c r="C149" s="1595"/>
      <c r="D149" s="1596"/>
      <c r="E149" s="1597" t="s">
        <v>24</v>
      </c>
      <c r="F149" s="1598">
        <f aca="true" t="shared" si="22" ref="F149:L149">F150+F156</f>
        <v>0</v>
      </c>
      <c r="G149" s="1598">
        <f t="shared" si="22"/>
        <v>0</v>
      </c>
      <c r="H149" s="1598">
        <f t="shared" si="22"/>
        <v>0</v>
      </c>
      <c r="I149" s="1598">
        <f t="shared" si="22"/>
        <v>0</v>
      </c>
      <c r="J149" s="1598">
        <f t="shared" si="22"/>
        <v>0</v>
      </c>
      <c r="K149" s="1598">
        <f t="shared" si="22"/>
        <v>0</v>
      </c>
      <c r="L149" s="1598">
        <f t="shared" si="22"/>
        <v>35000</v>
      </c>
      <c r="M149" s="1598">
        <f>SUM(F149:L149)</f>
        <v>35000</v>
      </c>
    </row>
    <row r="150" spans="1:13" ht="24" customHeight="1">
      <c r="A150" s="1593"/>
      <c r="B150" s="1599"/>
      <c r="C150" s="1600" t="s">
        <v>602</v>
      </c>
      <c r="D150" s="1601"/>
      <c r="E150" s="1315" t="s">
        <v>1030</v>
      </c>
      <c r="F150" s="1316">
        <v>0</v>
      </c>
      <c r="G150" s="1316">
        <v>0</v>
      </c>
      <c r="H150" s="1316">
        <v>0</v>
      </c>
      <c r="I150" s="1316">
        <v>0</v>
      </c>
      <c r="J150" s="1316">
        <v>0</v>
      </c>
      <c r="K150" s="1316">
        <v>0</v>
      </c>
      <c r="L150" s="1316">
        <v>35000</v>
      </c>
      <c r="M150" s="1502">
        <f>F150+G150+H150+I150+J150+K150+L150</f>
        <v>35000</v>
      </c>
    </row>
    <row r="151" spans="1:13" ht="19.5" customHeight="1">
      <c r="A151" s="1593"/>
      <c r="B151" s="1599"/>
      <c r="C151" s="1600"/>
      <c r="D151" s="1602"/>
      <c r="E151" s="1603" t="s">
        <v>706</v>
      </c>
      <c r="F151" s="1502"/>
      <c r="G151" s="1502"/>
      <c r="H151" s="1502"/>
      <c r="I151" s="1502"/>
      <c r="J151" s="1502"/>
      <c r="K151" s="1502"/>
      <c r="L151" s="1502"/>
      <c r="M151" s="1502"/>
    </row>
    <row r="152" spans="1:13" ht="24" customHeight="1">
      <c r="A152" s="1593"/>
      <c r="B152" s="1599"/>
      <c r="C152" s="1600"/>
      <c r="D152" s="1602">
        <v>1</v>
      </c>
      <c r="E152" s="1604" t="s">
        <v>1031</v>
      </c>
      <c r="F152" s="1502">
        <v>0</v>
      </c>
      <c r="G152" s="1502">
        <v>0</v>
      </c>
      <c r="H152" s="1502">
        <v>0</v>
      </c>
      <c r="I152" s="1502">
        <v>0</v>
      </c>
      <c r="J152" s="1502">
        <v>0</v>
      </c>
      <c r="K152" s="1502">
        <v>0</v>
      </c>
      <c r="L152" s="1502">
        <v>10000</v>
      </c>
      <c r="M152" s="1502">
        <f>F152+G152+H152+I152+J152+K152+L152</f>
        <v>10000</v>
      </c>
    </row>
    <row r="153" spans="1:13" ht="24" customHeight="1">
      <c r="A153" s="1593"/>
      <c r="B153" s="1599"/>
      <c r="C153" s="1600"/>
      <c r="D153" s="1602">
        <v>2</v>
      </c>
      <c r="E153" s="1320" t="s">
        <v>1032</v>
      </c>
      <c r="F153" s="1502">
        <v>0</v>
      </c>
      <c r="G153" s="1502">
        <v>0</v>
      </c>
      <c r="H153" s="1502">
        <v>0</v>
      </c>
      <c r="I153" s="1502">
        <v>0</v>
      </c>
      <c r="J153" s="1502">
        <v>0</v>
      </c>
      <c r="K153" s="1502">
        <v>0</v>
      </c>
      <c r="L153" s="1502">
        <v>0</v>
      </c>
      <c r="M153" s="1502">
        <f>F153+G153+H153+I153+J153+K153+L153</f>
        <v>0</v>
      </c>
    </row>
    <row r="154" spans="1:13" ht="24" customHeight="1">
      <c r="A154" s="1593"/>
      <c r="B154" s="1599"/>
      <c r="C154" s="1600"/>
      <c r="D154" s="1602">
        <v>3</v>
      </c>
      <c r="E154" s="1320" t="s">
        <v>1033</v>
      </c>
      <c r="F154" s="1502">
        <v>0</v>
      </c>
      <c r="G154" s="1502">
        <v>0</v>
      </c>
      <c r="H154" s="1502">
        <v>0</v>
      </c>
      <c r="I154" s="1502">
        <v>0</v>
      </c>
      <c r="J154" s="1502">
        <v>0</v>
      </c>
      <c r="K154" s="1502">
        <v>0</v>
      </c>
      <c r="L154" s="1502">
        <v>0</v>
      </c>
      <c r="M154" s="1502">
        <f>F154+G154+H154+I154+J154+K154+L154</f>
        <v>0</v>
      </c>
    </row>
    <row r="155" spans="1:13" ht="24" customHeight="1">
      <c r="A155" s="1593"/>
      <c r="B155" s="1599"/>
      <c r="C155" s="1600"/>
      <c r="D155" s="1602">
        <v>4</v>
      </c>
      <c r="E155" s="1320" t="s">
        <v>1034</v>
      </c>
      <c r="F155" s="1502">
        <v>0</v>
      </c>
      <c r="G155" s="1502">
        <v>0</v>
      </c>
      <c r="H155" s="1502">
        <v>0</v>
      </c>
      <c r="I155" s="1502">
        <v>0</v>
      </c>
      <c r="J155" s="1502">
        <v>0</v>
      </c>
      <c r="K155" s="1502">
        <v>0</v>
      </c>
      <c r="L155" s="1502">
        <v>0</v>
      </c>
      <c r="M155" s="1502">
        <f>F155+G155+H155+I155+J155+K155+L155</f>
        <v>0</v>
      </c>
    </row>
    <row r="156" spans="1:13" ht="24" customHeight="1">
      <c r="A156" s="1593"/>
      <c r="B156" s="1599"/>
      <c r="C156" s="1605" t="s">
        <v>121</v>
      </c>
      <c r="D156" s="1601"/>
      <c r="E156" s="1315" t="s">
        <v>1035</v>
      </c>
      <c r="F156" s="1316">
        <f aca="true" t="shared" si="23" ref="F156:K156">F158</f>
        <v>0</v>
      </c>
      <c r="G156" s="1316">
        <f t="shared" si="23"/>
        <v>0</v>
      </c>
      <c r="H156" s="1316">
        <f t="shared" si="23"/>
        <v>0</v>
      </c>
      <c r="I156" s="1316">
        <f t="shared" si="23"/>
        <v>0</v>
      </c>
      <c r="J156" s="1316">
        <f t="shared" si="23"/>
        <v>0</v>
      </c>
      <c r="K156" s="1316">
        <f t="shared" si="23"/>
        <v>0</v>
      </c>
      <c r="L156" s="1316">
        <v>0</v>
      </c>
      <c r="M156" s="1316">
        <f>F156+G156+H156+I156+J156+K156+L156</f>
        <v>0</v>
      </c>
    </row>
    <row r="157" spans="1:13" ht="21" customHeight="1">
      <c r="A157" s="1593"/>
      <c r="B157" s="1599"/>
      <c r="C157" s="1600"/>
      <c r="D157" s="1602"/>
      <c r="E157" s="1603" t="s">
        <v>706</v>
      </c>
      <c r="F157" s="1502"/>
      <c r="G157" s="1502"/>
      <c r="H157" s="1502"/>
      <c r="I157" s="1502"/>
      <c r="J157" s="1502"/>
      <c r="K157" s="1502"/>
      <c r="L157" s="1502"/>
      <c r="M157" s="1502"/>
    </row>
    <row r="158" spans="1:13" ht="43.5" customHeight="1">
      <c r="A158" s="1593"/>
      <c r="B158" s="1599"/>
      <c r="C158" s="1600"/>
      <c r="D158" s="1602">
        <v>1</v>
      </c>
      <c r="E158" s="1320" t="s">
        <v>1036</v>
      </c>
      <c r="F158" s="1502">
        <v>0</v>
      </c>
      <c r="G158" s="1502">
        <v>0</v>
      </c>
      <c r="H158" s="1502">
        <v>0</v>
      </c>
      <c r="I158" s="1502">
        <v>0</v>
      </c>
      <c r="J158" s="1502">
        <v>0</v>
      </c>
      <c r="K158" s="1502">
        <v>0</v>
      </c>
      <c r="L158" s="1502">
        <v>0</v>
      </c>
      <c r="M158" s="1502">
        <f>SUM(F158:L158)</f>
        <v>0</v>
      </c>
    </row>
    <row r="159" spans="1:13" ht="66.75" customHeight="1">
      <c r="A159" s="1607">
        <v>7</v>
      </c>
      <c r="B159" s="1607">
        <v>751</v>
      </c>
      <c r="C159" s="1606"/>
      <c r="D159" s="1608"/>
      <c r="E159" s="1608" t="s">
        <v>215</v>
      </c>
      <c r="F159" s="1609">
        <f aca="true" t="shared" si="24" ref="F159:L159">+F160</f>
        <v>2800</v>
      </c>
      <c r="G159" s="1609">
        <f t="shared" si="24"/>
        <v>0</v>
      </c>
      <c r="H159" s="1609">
        <f t="shared" si="24"/>
        <v>0</v>
      </c>
      <c r="I159" s="1609">
        <f t="shared" si="24"/>
        <v>0</v>
      </c>
      <c r="J159" s="1609">
        <f t="shared" si="24"/>
        <v>0</v>
      </c>
      <c r="K159" s="1609">
        <f t="shared" si="24"/>
        <v>0</v>
      </c>
      <c r="L159" s="1609">
        <f t="shared" si="24"/>
        <v>0</v>
      </c>
      <c r="M159" s="1592">
        <f>SUM(F159:L159)</f>
        <v>2800</v>
      </c>
    </row>
    <row r="160" spans="1:13" ht="50.25" customHeight="1">
      <c r="A160" s="1610"/>
      <c r="B160" s="1594" t="s">
        <v>1048</v>
      </c>
      <c r="C160" s="1595"/>
      <c r="D160" s="1596"/>
      <c r="E160" s="1597" t="s">
        <v>216</v>
      </c>
      <c r="F160" s="1598">
        <f aca="true" t="shared" si="25" ref="F160:L160">F161+F167</f>
        <v>2800</v>
      </c>
      <c r="G160" s="1598">
        <f t="shared" si="25"/>
        <v>0</v>
      </c>
      <c r="H160" s="1598">
        <f t="shared" si="25"/>
        <v>0</v>
      </c>
      <c r="I160" s="1598">
        <f t="shared" si="25"/>
        <v>0</v>
      </c>
      <c r="J160" s="1598">
        <f t="shared" si="25"/>
        <v>0</v>
      </c>
      <c r="K160" s="1598">
        <f t="shared" si="25"/>
        <v>0</v>
      </c>
      <c r="L160" s="1598">
        <f t="shared" si="25"/>
        <v>0</v>
      </c>
      <c r="M160" s="1598">
        <f>SUM(F160:L160)</f>
        <v>2800</v>
      </c>
    </row>
    <row r="161" spans="1:13" ht="24" customHeight="1">
      <c r="A161" s="1593"/>
      <c r="B161" s="1599"/>
      <c r="C161" s="1600" t="s">
        <v>602</v>
      </c>
      <c r="D161" s="1601"/>
      <c r="E161" s="1315" t="s">
        <v>1030</v>
      </c>
      <c r="F161" s="1316">
        <f>3000-200</f>
        <v>2800</v>
      </c>
      <c r="G161" s="1316">
        <v>0</v>
      </c>
      <c r="H161" s="1316">
        <v>0</v>
      </c>
      <c r="I161" s="1316">
        <v>0</v>
      </c>
      <c r="J161" s="1316">
        <v>0</v>
      </c>
      <c r="K161" s="1316">
        <v>0</v>
      </c>
      <c r="L161" s="1316">
        <v>0</v>
      </c>
      <c r="M161" s="1502">
        <f>F161+G161+H161+I161+J161+K161+L161</f>
        <v>2800</v>
      </c>
    </row>
    <row r="162" spans="1:13" ht="19.5" customHeight="1">
      <c r="A162" s="1593"/>
      <c r="B162" s="1599"/>
      <c r="C162" s="1600"/>
      <c r="D162" s="1602"/>
      <c r="E162" s="1603" t="s">
        <v>706</v>
      </c>
      <c r="F162" s="1502"/>
      <c r="G162" s="1502"/>
      <c r="H162" s="1502"/>
      <c r="I162" s="1502"/>
      <c r="J162" s="1502"/>
      <c r="K162" s="1502"/>
      <c r="L162" s="1502"/>
      <c r="M162" s="1502"/>
    </row>
    <row r="163" spans="1:13" ht="24" customHeight="1">
      <c r="A163" s="1593"/>
      <c r="B163" s="1599"/>
      <c r="C163" s="1600"/>
      <c r="D163" s="1602">
        <v>1</v>
      </c>
      <c r="E163" s="1604" t="s">
        <v>1031</v>
      </c>
      <c r="F163" s="1502">
        <v>0</v>
      </c>
      <c r="G163" s="1502">
        <v>0</v>
      </c>
      <c r="H163" s="1502">
        <v>0</v>
      </c>
      <c r="I163" s="1502">
        <v>0</v>
      </c>
      <c r="J163" s="1502">
        <v>0</v>
      </c>
      <c r="K163" s="1502">
        <v>0</v>
      </c>
      <c r="L163" s="1502">
        <v>0</v>
      </c>
      <c r="M163" s="1502">
        <f>F163+G163+H163+I163+J163+K163+L163</f>
        <v>0</v>
      </c>
    </row>
    <row r="164" spans="1:13" ht="24" customHeight="1">
      <c r="A164" s="1593"/>
      <c r="B164" s="1599"/>
      <c r="C164" s="1600"/>
      <c r="D164" s="1602">
        <v>2</v>
      </c>
      <c r="E164" s="1320" t="s">
        <v>1032</v>
      </c>
      <c r="F164" s="1502">
        <v>0</v>
      </c>
      <c r="G164" s="1502">
        <v>0</v>
      </c>
      <c r="H164" s="1502">
        <v>0</v>
      </c>
      <c r="I164" s="1502">
        <v>0</v>
      </c>
      <c r="J164" s="1502">
        <v>0</v>
      </c>
      <c r="K164" s="1502">
        <v>0</v>
      </c>
      <c r="L164" s="1502">
        <v>0</v>
      </c>
      <c r="M164" s="1502">
        <f>F164+G164+H164+I164+J164+K164+L164</f>
        <v>0</v>
      </c>
    </row>
    <row r="165" spans="1:13" ht="24" customHeight="1">
      <c r="A165" s="1593"/>
      <c r="B165" s="1599"/>
      <c r="C165" s="1600"/>
      <c r="D165" s="1602">
        <v>3</v>
      </c>
      <c r="E165" s="1320" t="s">
        <v>1033</v>
      </c>
      <c r="F165" s="1502">
        <v>0</v>
      </c>
      <c r="G165" s="1502">
        <v>0</v>
      </c>
      <c r="H165" s="1502">
        <v>0</v>
      </c>
      <c r="I165" s="1502">
        <v>0</v>
      </c>
      <c r="J165" s="1502">
        <v>0</v>
      </c>
      <c r="K165" s="1502">
        <v>0</v>
      </c>
      <c r="L165" s="1502">
        <v>0</v>
      </c>
      <c r="M165" s="1502">
        <f>F165+G165+H165+I165+J165+K165+L165</f>
        <v>0</v>
      </c>
    </row>
    <row r="166" spans="1:13" ht="24" customHeight="1">
      <c r="A166" s="1593"/>
      <c r="B166" s="1599"/>
      <c r="C166" s="1600"/>
      <c r="D166" s="1602">
        <v>4</v>
      </c>
      <c r="E166" s="1320" t="s">
        <v>1034</v>
      </c>
      <c r="F166" s="1502">
        <v>0</v>
      </c>
      <c r="G166" s="1502">
        <v>0</v>
      </c>
      <c r="H166" s="1502">
        <v>0</v>
      </c>
      <c r="I166" s="1502">
        <v>0</v>
      </c>
      <c r="J166" s="1502">
        <v>0</v>
      </c>
      <c r="K166" s="1502">
        <v>0</v>
      </c>
      <c r="L166" s="1502">
        <v>0</v>
      </c>
      <c r="M166" s="1502">
        <f>F166+G166+H166+I166+J166+K166+L166</f>
        <v>0</v>
      </c>
    </row>
    <row r="167" spans="1:13" ht="24" customHeight="1">
      <c r="A167" s="1593"/>
      <c r="B167" s="1599"/>
      <c r="C167" s="1605" t="s">
        <v>121</v>
      </c>
      <c r="D167" s="1601"/>
      <c r="E167" s="1315" t="s">
        <v>1035</v>
      </c>
      <c r="F167" s="1316">
        <v>0</v>
      </c>
      <c r="G167" s="1316">
        <v>0</v>
      </c>
      <c r="H167" s="1316">
        <v>0</v>
      </c>
      <c r="I167" s="1316">
        <v>0</v>
      </c>
      <c r="J167" s="1316">
        <v>0</v>
      </c>
      <c r="K167" s="1316">
        <v>0</v>
      </c>
      <c r="L167" s="1316">
        <v>0</v>
      </c>
      <c r="M167" s="1316">
        <f>F167+G167+H167+I167+J167+K167+L167</f>
        <v>0</v>
      </c>
    </row>
    <row r="168" spans="1:13" ht="21" customHeight="1">
      <c r="A168" s="1593"/>
      <c r="B168" s="1599"/>
      <c r="C168" s="1600"/>
      <c r="D168" s="1602"/>
      <c r="E168" s="1603" t="s">
        <v>706</v>
      </c>
      <c r="F168" s="1502"/>
      <c r="G168" s="1502"/>
      <c r="H168" s="1502"/>
      <c r="I168" s="1502"/>
      <c r="J168" s="1502"/>
      <c r="K168" s="1502"/>
      <c r="L168" s="1502"/>
      <c r="M168" s="1502"/>
    </row>
    <row r="169" spans="1:13" ht="43.5" customHeight="1">
      <c r="A169" s="1593"/>
      <c r="B169" s="1599"/>
      <c r="C169" s="1600"/>
      <c r="D169" s="1602">
        <v>1</v>
      </c>
      <c r="E169" s="1320" t="s">
        <v>1036</v>
      </c>
      <c r="F169" s="1502">
        <v>0</v>
      </c>
      <c r="G169" s="1502">
        <v>0</v>
      </c>
      <c r="H169" s="1502">
        <v>0</v>
      </c>
      <c r="I169" s="1502">
        <v>0</v>
      </c>
      <c r="J169" s="1502">
        <v>0</v>
      </c>
      <c r="K169" s="1502">
        <v>0</v>
      </c>
      <c r="L169" s="1502">
        <v>0</v>
      </c>
      <c r="M169" s="1502">
        <f>SUM(F169:L169)</f>
        <v>0</v>
      </c>
    </row>
    <row r="170" spans="1:13" ht="45" customHeight="1">
      <c r="A170" s="1607">
        <v>8</v>
      </c>
      <c r="B170" s="1607">
        <v>752</v>
      </c>
      <c r="C170" s="1606"/>
      <c r="D170" s="1608"/>
      <c r="E170" s="1608" t="s">
        <v>597</v>
      </c>
      <c r="F170" s="1609">
        <f aca="true" t="shared" si="26" ref="F170:L170">F171</f>
        <v>0</v>
      </c>
      <c r="G170" s="1609">
        <f t="shared" si="26"/>
        <v>0</v>
      </c>
      <c r="H170" s="1609">
        <f t="shared" si="26"/>
        <v>0</v>
      </c>
      <c r="I170" s="1609">
        <f t="shared" si="26"/>
        <v>0</v>
      </c>
      <c r="J170" s="1609">
        <f t="shared" si="26"/>
        <v>0</v>
      </c>
      <c r="K170" s="1609">
        <f t="shared" si="26"/>
        <v>0</v>
      </c>
      <c r="L170" s="1609">
        <f t="shared" si="26"/>
        <v>2000</v>
      </c>
      <c r="M170" s="1592">
        <f>SUM(F170:L170)</f>
        <v>2000</v>
      </c>
    </row>
    <row r="171" spans="1:13" ht="38.25" customHeight="1">
      <c r="A171" s="1610"/>
      <c r="B171" s="1594">
        <v>75212</v>
      </c>
      <c r="C171" s="1595"/>
      <c r="D171" s="1596"/>
      <c r="E171" s="1597" t="s">
        <v>598</v>
      </c>
      <c r="F171" s="1598">
        <f aca="true" t="shared" si="27" ref="F171:L171">F172+F178</f>
        <v>0</v>
      </c>
      <c r="G171" s="1598">
        <f t="shared" si="27"/>
        <v>0</v>
      </c>
      <c r="H171" s="1598">
        <f t="shared" si="27"/>
        <v>0</v>
      </c>
      <c r="I171" s="1598">
        <f t="shared" si="27"/>
        <v>0</v>
      </c>
      <c r="J171" s="1598">
        <f t="shared" si="27"/>
        <v>0</v>
      </c>
      <c r="K171" s="1598">
        <f t="shared" si="27"/>
        <v>0</v>
      </c>
      <c r="L171" s="1598">
        <f t="shared" si="27"/>
        <v>2000</v>
      </c>
      <c r="M171" s="1598">
        <f>SUM(F171:L171)</f>
        <v>2000</v>
      </c>
    </row>
    <row r="172" spans="1:13" ht="24" customHeight="1">
      <c r="A172" s="1593"/>
      <c r="B172" s="1599"/>
      <c r="C172" s="1600" t="s">
        <v>602</v>
      </c>
      <c r="D172" s="1601"/>
      <c r="E172" s="1315" t="s">
        <v>1030</v>
      </c>
      <c r="F172" s="1316">
        <v>0</v>
      </c>
      <c r="G172" s="1316">
        <v>0</v>
      </c>
      <c r="H172" s="1316">
        <v>0</v>
      </c>
      <c r="I172" s="1316">
        <v>0</v>
      </c>
      <c r="J172" s="1316">
        <v>0</v>
      </c>
      <c r="K172" s="1316">
        <v>0</v>
      </c>
      <c r="L172" s="1316">
        <v>2000</v>
      </c>
      <c r="M172" s="1502">
        <f>F172+G172+H172+I172+J172+K172+L172</f>
        <v>2000</v>
      </c>
    </row>
    <row r="173" spans="1:13" ht="19.5" customHeight="1">
      <c r="A173" s="1593"/>
      <c r="B173" s="1599"/>
      <c r="C173" s="1600"/>
      <c r="D173" s="1602"/>
      <c r="E173" s="1603" t="s">
        <v>706</v>
      </c>
      <c r="F173" s="1502"/>
      <c r="G173" s="1502"/>
      <c r="H173" s="1502"/>
      <c r="I173" s="1502"/>
      <c r="J173" s="1502"/>
      <c r="K173" s="1502"/>
      <c r="L173" s="1502"/>
      <c r="M173" s="1502"/>
    </row>
    <row r="174" spans="1:13" ht="24" customHeight="1">
      <c r="A174" s="1593"/>
      <c r="B174" s="1599"/>
      <c r="C174" s="1600"/>
      <c r="D174" s="1602">
        <v>1</v>
      </c>
      <c r="E174" s="1604" t="s">
        <v>1031</v>
      </c>
      <c r="F174" s="1502">
        <v>0</v>
      </c>
      <c r="G174" s="1502">
        <v>0</v>
      </c>
      <c r="H174" s="1502">
        <v>0</v>
      </c>
      <c r="I174" s="1502">
        <v>0</v>
      </c>
      <c r="J174" s="1502">
        <v>0</v>
      </c>
      <c r="K174" s="1502">
        <v>0</v>
      </c>
      <c r="L174" s="1502">
        <v>0</v>
      </c>
      <c r="M174" s="1502">
        <f>F174+G174+H174+I174+J174+K174+L174</f>
        <v>0</v>
      </c>
    </row>
    <row r="175" spans="1:13" ht="24" customHeight="1">
      <c r="A175" s="1593"/>
      <c r="B175" s="1599"/>
      <c r="C175" s="1600"/>
      <c r="D175" s="1602">
        <v>2</v>
      </c>
      <c r="E175" s="1320" t="s">
        <v>1032</v>
      </c>
      <c r="F175" s="1502">
        <v>0</v>
      </c>
      <c r="G175" s="1502">
        <v>0</v>
      </c>
      <c r="H175" s="1502">
        <v>0</v>
      </c>
      <c r="I175" s="1502">
        <v>0</v>
      </c>
      <c r="J175" s="1502">
        <v>0</v>
      </c>
      <c r="K175" s="1502">
        <v>0</v>
      </c>
      <c r="L175" s="1502">
        <v>0</v>
      </c>
      <c r="M175" s="1502">
        <f>F175+G175+H175+I175+J175+K175+L175</f>
        <v>0</v>
      </c>
    </row>
    <row r="176" spans="1:13" ht="24" customHeight="1">
      <c r="A176" s="1593"/>
      <c r="B176" s="1599"/>
      <c r="C176" s="1600"/>
      <c r="D176" s="1602">
        <v>3</v>
      </c>
      <c r="E176" s="1320" t="s">
        <v>1033</v>
      </c>
      <c r="F176" s="1502">
        <v>0</v>
      </c>
      <c r="G176" s="1502">
        <v>0</v>
      </c>
      <c r="H176" s="1502">
        <v>0</v>
      </c>
      <c r="I176" s="1502">
        <v>0</v>
      </c>
      <c r="J176" s="1502">
        <v>0</v>
      </c>
      <c r="K176" s="1502">
        <v>0</v>
      </c>
      <c r="L176" s="1502">
        <v>0</v>
      </c>
      <c r="M176" s="1502">
        <f>F176+G176+H176+I176+J176+K176+L176</f>
        <v>0</v>
      </c>
    </row>
    <row r="177" spans="1:13" ht="24" customHeight="1">
      <c r="A177" s="1593"/>
      <c r="B177" s="1599"/>
      <c r="C177" s="1600"/>
      <c r="D177" s="1602">
        <v>4</v>
      </c>
      <c r="E177" s="1320" t="s">
        <v>1034</v>
      </c>
      <c r="F177" s="1502">
        <v>0</v>
      </c>
      <c r="G177" s="1502">
        <v>0</v>
      </c>
      <c r="H177" s="1502">
        <v>0</v>
      </c>
      <c r="I177" s="1502">
        <v>0</v>
      </c>
      <c r="J177" s="1502">
        <v>0</v>
      </c>
      <c r="K177" s="1502">
        <v>0</v>
      </c>
      <c r="L177" s="1502">
        <v>0</v>
      </c>
      <c r="M177" s="1502">
        <f>F177+G177+H177+I177+J177+K177+L177</f>
        <v>0</v>
      </c>
    </row>
    <row r="178" spans="1:13" ht="24" customHeight="1">
      <c r="A178" s="1593"/>
      <c r="B178" s="1599"/>
      <c r="C178" s="1605" t="s">
        <v>121</v>
      </c>
      <c r="D178" s="1601"/>
      <c r="E178" s="1315" t="s">
        <v>1035</v>
      </c>
      <c r="F178" s="1316">
        <v>0</v>
      </c>
      <c r="G178" s="1316">
        <v>0</v>
      </c>
      <c r="H178" s="1316">
        <v>0</v>
      </c>
      <c r="I178" s="1316">
        <v>0</v>
      </c>
      <c r="J178" s="1316">
        <v>0</v>
      </c>
      <c r="K178" s="1316">
        <v>0</v>
      </c>
      <c r="L178" s="1316">
        <v>0</v>
      </c>
      <c r="M178" s="1316">
        <f>F178+G178+H178+I178+J178+K178+L178</f>
        <v>0</v>
      </c>
    </row>
    <row r="179" spans="1:13" ht="21" customHeight="1">
      <c r="A179" s="1593"/>
      <c r="B179" s="1599"/>
      <c r="C179" s="1600"/>
      <c r="D179" s="1602"/>
      <c r="E179" s="1603" t="s">
        <v>706</v>
      </c>
      <c r="F179" s="1502"/>
      <c r="G179" s="1502"/>
      <c r="H179" s="1502"/>
      <c r="I179" s="1502"/>
      <c r="J179" s="1502"/>
      <c r="K179" s="1502"/>
      <c r="L179" s="1502"/>
      <c r="M179" s="1502"/>
    </row>
    <row r="180" spans="1:13" ht="43.5" customHeight="1">
      <c r="A180" s="1593"/>
      <c r="B180" s="1599"/>
      <c r="C180" s="1600"/>
      <c r="D180" s="1602">
        <v>1</v>
      </c>
      <c r="E180" s="1320" t="s">
        <v>1036</v>
      </c>
      <c r="F180" s="1502">
        <v>0</v>
      </c>
      <c r="G180" s="1502">
        <v>0</v>
      </c>
      <c r="H180" s="1502">
        <v>0</v>
      </c>
      <c r="I180" s="1502">
        <v>0</v>
      </c>
      <c r="J180" s="1502">
        <v>0</v>
      </c>
      <c r="K180" s="1502">
        <v>0</v>
      </c>
      <c r="L180" s="1502">
        <v>0</v>
      </c>
      <c r="M180" s="1502">
        <f>SUM(F180:L180)</f>
        <v>0</v>
      </c>
    </row>
    <row r="181" spans="1:13" ht="51" customHeight="1">
      <c r="A181" s="1607">
        <v>9</v>
      </c>
      <c r="B181" s="1607">
        <v>754</v>
      </c>
      <c r="C181" s="1606"/>
      <c r="D181" s="1608"/>
      <c r="E181" s="1608" t="s">
        <v>739</v>
      </c>
      <c r="F181" s="1609">
        <f aca="true" t="shared" si="28" ref="F181:L181">F182+F192+F202</f>
        <v>200</v>
      </c>
      <c r="G181" s="1609">
        <f t="shared" si="28"/>
        <v>0</v>
      </c>
      <c r="H181" s="1609">
        <f t="shared" si="28"/>
        <v>0</v>
      </c>
      <c r="I181" s="1609">
        <f t="shared" si="28"/>
        <v>0</v>
      </c>
      <c r="J181" s="1609">
        <f t="shared" si="28"/>
        <v>0</v>
      </c>
      <c r="K181" s="1609">
        <f t="shared" si="28"/>
        <v>0</v>
      </c>
      <c r="L181" s="1609">
        <f t="shared" si="28"/>
        <v>536188</v>
      </c>
      <c r="M181" s="1592">
        <f>SUM(F181:L181)</f>
        <v>536388</v>
      </c>
    </row>
    <row r="182" spans="1:13" ht="36" customHeight="1">
      <c r="A182" s="1614"/>
      <c r="B182" s="1615">
        <v>75412</v>
      </c>
      <c r="C182" s="1595"/>
      <c r="D182" s="1596"/>
      <c r="E182" s="1597" t="s">
        <v>601</v>
      </c>
      <c r="F182" s="1598">
        <f aca="true" t="shared" si="29" ref="F182:L182">F183+F189</f>
        <v>0</v>
      </c>
      <c r="G182" s="1598">
        <f t="shared" si="29"/>
        <v>0</v>
      </c>
      <c r="H182" s="1598">
        <f t="shared" si="29"/>
        <v>0</v>
      </c>
      <c r="I182" s="1598">
        <f t="shared" si="29"/>
        <v>0</v>
      </c>
      <c r="J182" s="1598">
        <f t="shared" si="29"/>
        <v>0</v>
      </c>
      <c r="K182" s="1598">
        <f t="shared" si="29"/>
        <v>0</v>
      </c>
      <c r="L182" s="1598">
        <f t="shared" si="29"/>
        <v>232000</v>
      </c>
      <c r="M182" s="1598">
        <f>SUM(F182:L182)</f>
        <v>232000</v>
      </c>
    </row>
    <row r="183" spans="1:13" ht="24" customHeight="1">
      <c r="A183" s="1593"/>
      <c r="B183" s="1599"/>
      <c r="C183" s="1600" t="s">
        <v>602</v>
      </c>
      <c r="D183" s="1601"/>
      <c r="E183" s="1315" t="s">
        <v>1030</v>
      </c>
      <c r="F183" s="1316">
        <v>0</v>
      </c>
      <c r="G183" s="1316">
        <v>0</v>
      </c>
      <c r="H183" s="1316">
        <v>0</v>
      </c>
      <c r="I183" s="1316">
        <v>0</v>
      </c>
      <c r="J183" s="1316">
        <v>0</v>
      </c>
      <c r="K183" s="1316">
        <v>0</v>
      </c>
      <c r="L183" s="1316">
        <f>20000+2500+18000+28000+33500+16000+7000+15000+2000</f>
        <v>142000</v>
      </c>
      <c r="M183" s="1502">
        <f>F183+G183+H183+I183+J183+K183+L183</f>
        <v>142000</v>
      </c>
    </row>
    <row r="184" spans="1:13" ht="16.5" customHeight="1">
      <c r="A184" s="1593"/>
      <c r="B184" s="1599"/>
      <c r="C184" s="1600"/>
      <c r="D184" s="1602"/>
      <c r="E184" s="1603" t="s">
        <v>706</v>
      </c>
      <c r="F184" s="1502"/>
      <c r="G184" s="1502"/>
      <c r="H184" s="1502"/>
      <c r="I184" s="1502"/>
      <c r="J184" s="1502"/>
      <c r="K184" s="1502"/>
      <c r="L184" s="1502"/>
      <c r="M184" s="1502"/>
    </row>
    <row r="185" spans="1:13" ht="24" customHeight="1">
      <c r="A185" s="1593"/>
      <c r="B185" s="1599"/>
      <c r="C185" s="1600"/>
      <c r="D185" s="1602">
        <v>1</v>
      </c>
      <c r="E185" s="1604" t="s">
        <v>1031</v>
      </c>
      <c r="F185" s="1502">
        <v>0</v>
      </c>
      <c r="G185" s="1502">
        <v>0</v>
      </c>
      <c r="H185" s="1502">
        <v>0</v>
      </c>
      <c r="I185" s="1502">
        <v>0</v>
      </c>
      <c r="J185" s="1502">
        <v>0</v>
      </c>
      <c r="K185" s="1502">
        <v>0</v>
      </c>
      <c r="L185" s="1502">
        <v>20000</v>
      </c>
      <c r="M185" s="1502">
        <f>F185+G185+H185+I185+J185+K185+L185</f>
        <v>20000</v>
      </c>
    </row>
    <row r="186" spans="1:13" ht="24" customHeight="1">
      <c r="A186" s="1593"/>
      <c r="B186" s="1599"/>
      <c r="C186" s="1600"/>
      <c r="D186" s="1602">
        <v>2</v>
      </c>
      <c r="E186" s="1320" t="s">
        <v>1032</v>
      </c>
      <c r="F186" s="1502">
        <v>0</v>
      </c>
      <c r="G186" s="1502">
        <v>0</v>
      </c>
      <c r="H186" s="1502">
        <v>0</v>
      </c>
      <c r="I186" s="1502">
        <v>0</v>
      </c>
      <c r="J186" s="1502">
        <v>0</v>
      </c>
      <c r="K186" s="1502">
        <v>0</v>
      </c>
      <c r="L186" s="1502">
        <v>0</v>
      </c>
      <c r="M186" s="1502">
        <f>F186+G186+H186+I186+J186+K186+L186</f>
        <v>0</v>
      </c>
    </row>
    <row r="187" spans="1:13" ht="24" customHeight="1">
      <c r="A187" s="1593"/>
      <c r="B187" s="1599"/>
      <c r="C187" s="1600"/>
      <c r="D187" s="1602">
        <v>3</v>
      </c>
      <c r="E187" s="1320" t="s">
        <v>1033</v>
      </c>
      <c r="F187" s="1502">
        <v>0</v>
      </c>
      <c r="G187" s="1502">
        <v>0</v>
      </c>
      <c r="H187" s="1502">
        <v>0</v>
      </c>
      <c r="I187" s="1502">
        <v>0</v>
      </c>
      <c r="J187" s="1502">
        <v>0</v>
      </c>
      <c r="K187" s="1502">
        <v>0</v>
      </c>
      <c r="L187" s="1502">
        <v>0</v>
      </c>
      <c r="M187" s="1502">
        <f>F187+G187+H187+I187+J187+K187+L187</f>
        <v>0</v>
      </c>
    </row>
    <row r="188" spans="1:13" ht="24" customHeight="1">
      <c r="A188" s="1593"/>
      <c r="B188" s="1599"/>
      <c r="C188" s="1600"/>
      <c r="D188" s="1602">
        <v>4</v>
      </c>
      <c r="E188" s="1320" t="s">
        <v>1034</v>
      </c>
      <c r="F188" s="1502">
        <v>0</v>
      </c>
      <c r="G188" s="1502">
        <v>0</v>
      </c>
      <c r="H188" s="1502">
        <v>0</v>
      </c>
      <c r="I188" s="1502">
        <v>0</v>
      </c>
      <c r="J188" s="1502">
        <v>0</v>
      </c>
      <c r="K188" s="1502">
        <v>0</v>
      </c>
      <c r="L188" s="1502">
        <v>0</v>
      </c>
      <c r="M188" s="1502">
        <f>F188+G188+H188+I188+J188+K188+L188</f>
        <v>0</v>
      </c>
    </row>
    <row r="189" spans="1:13" ht="24" customHeight="1">
      <c r="A189" s="1593"/>
      <c r="B189" s="1599"/>
      <c r="C189" s="1605" t="s">
        <v>121</v>
      </c>
      <c r="D189" s="1601"/>
      <c r="E189" s="1315" t="s">
        <v>1035</v>
      </c>
      <c r="F189" s="1316">
        <v>0</v>
      </c>
      <c r="G189" s="1316">
        <v>0</v>
      </c>
      <c r="H189" s="1316">
        <v>0</v>
      </c>
      <c r="I189" s="1316">
        <v>0</v>
      </c>
      <c r="J189" s="1316">
        <v>0</v>
      </c>
      <c r="K189" s="1316">
        <v>0</v>
      </c>
      <c r="L189" s="1316">
        <f>L191</f>
        <v>90000</v>
      </c>
      <c r="M189" s="1316">
        <f>F189+G189+H189+I189+J189+K189+L189</f>
        <v>90000</v>
      </c>
    </row>
    <row r="190" spans="1:13" ht="16.5" customHeight="1">
      <c r="A190" s="1593"/>
      <c r="B190" s="1599"/>
      <c r="C190" s="1600"/>
      <c r="D190" s="1602"/>
      <c r="E190" s="1603" t="s">
        <v>706</v>
      </c>
      <c r="F190" s="1502"/>
      <c r="G190" s="1502"/>
      <c r="H190" s="1502"/>
      <c r="I190" s="1502"/>
      <c r="J190" s="1502"/>
      <c r="K190" s="1502"/>
      <c r="L190" s="1502"/>
      <c r="M190" s="1502"/>
    </row>
    <row r="191" spans="1:13" ht="38.25" customHeight="1">
      <c r="A191" s="1593"/>
      <c r="B191" s="1599"/>
      <c r="C191" s="1600"/>
      <c r="D191" s="1602">
        <v>1</v>
      </c>
      <c r="E191" s="1320" t="s">
        <v>1036</v>
      </c>
      <c r="F191" s="1502">
        <v>0</v>
      </c>
      <c r="G191" s="1502">
        <v>0</v>
      </c>
      <c r="H191" s="1502">
        <v>0</v>
      </c>
      <c r="I191" s="1502">
        <v>0</v>
      </c>
      <c r="J191" s="1502">
        <v>0</v>
      </c>
      <c r="K191" s="1502">
        <v>0</v>
      </c>
      <c r="L191" s="1502">
        <v>90000</v>
      </c>
      <c r="M191" s="1502">
        <f>SUM(F191:L191)</f>
        <v>90000</v>
      </c>
    </row>
    <row r="192" spans="1:13" ht="36" customHeight="1">
      <c r="A192" s="1614"/>
      <c r="B192" s="1615">
        <v>75414</v>
      </c>
      <c r="C192" s="1595"/>
      <c r="D192" s="1596"/>
      <c r="E192" s="1597" t="s">
        <v>901</v>
      </c>
      <c r="F192" s="1598">
        <f aca="true" t="shared" si="30" ref="F192:L192">F193+F199</f>
        <v>200</v>
      </c>
      <c r="G192" s="1598">
        <f>G193+G199</f>
        <v>0</v>
      </c>
      <c r="H192" s="1598">
        <f>H193+H199</f>
        <v>0</v>
      </c>
      <c r="I192" s="1598">
        <f>I193+I199</f>
        <v>0</v>
      </c>
      <c r="J192" s="1598">
        <f>J193+J199</f>
        <v>0</v>
      </c>
      <c r="K192" s="1598">
        <f t="shared" si="30"/>
        <v>0</v>
      </c>
      <c r="L192" s="1598">
        <f t="shared" si="30"/>
        <v>600</v>
      </c>
      <c r="M192" s="1598">
        <f>SUM(F192:L192)</f>
        <v>800</v>
      </c>
    </row>
    <row r="193" spans="1:13" ht="24" customHeight="1">
      <c r="A193" s="1593"/>
      <c r="B193" s="1599"/>
      <c r="C193" s="1600" t="s">
        <v>602</v>
      </c>
      <c r="D193" s="1601"/>
      <c r="E193" s="1315" t="s">
        <v>1030</v>
      </c>
      <c r="F193" s="1316">
        <v>200</v>
      </c>
      <c r="G193" s="1316">
        <v>0</v>
      </c>
      <c r="H193" s="1316">
        <v>0</v>
      </c>
      <c r="I193" s="1316">
        <v>0</v>
      </c>
      <c r="J193" s="1316">
        <v>0</v>
      </c>
      <c r="K193" s="1316">
        <v>0</v>
      </c>
      <c r="L193" s="1316">
        <v>600</v>
      </c>
      <c r="M193" s="1502">
        <f>F193+G193+H193+I193+J193+K193+L193</f>
        <v>800</v>
      </c>
    </row>
    <row r="194" spans="1:13" ht="16.5" customHeight="1">
      <c r="A194" s="1593"/>
      <c r="B194" s="1599"/>
      <c r="C194" s="1600"/>
      <c r="D194" s="1602"/>
      <c r="E194" s="1603" t="s">
        <v>706</v>
      </c>
      <c r="F194" s="1502"/>
      <c r="G194" s="1502"/>
      <c r="H194" s="1502"/>
      <c r="I194" s="1502"/>
      <c r="J194" s="1502"/>
      <c r="K194" s="1502"/>
      <c r="L194" s="1502"/>
      <c r="M194" s="1502"/>
    </row>
    <row r="195" spans="1:13" ht="24" customHeight="1">
      <c r="A195" s="1593"/>
      <c r="B195" s="1599"/>
      <c r="C195" s="1600"/>
      <c r="D195" s="1602">
        <v>1</v>
      </c>
      <c r="E195" s="1604" t="s">
        <v>1031</v>
      </c>
      <c r="F195" s="1502">
        <v>0</v>
      </c>
      <c r="G195" s="1502">
        <v>0</v>
      </c>
      <c r="H195" s="1502">
        <v>0</v>
      </c>
      <c r="I195" s="1502">
        <v>0</v>
      </c>
      <c r="J195" s="1502">
        <v>0</v>
      </c>
      <c r="K195" s="1502">
        <v>0</v>
      </c>
      <c r="L195" s="1502">
        <v>0</v>
      </c>
      <c r="M195" s="1502">
        <f>F195+G195+H195+I195+J195+K195+L195</f>
        <v>0</v>
      </c>
    </row>
    <row r="196" spans="1:13" ht="24" customHeight="1">
      <c r="A196" s="1593"/>
      <c r="B196" s="1599"/>
      <c r="C196" s="1600"/>
      <c r="D196" s="1602">
        <v>2</v>
      </c>
      <c r="E196" s="1320" t="s">
        <v>1032</v>
      </c>
      <c r="F196" s="1502">
        <v>0</v>
      </c>
      <c r="G196" s="1502">
        <v>0</v>
      </c>
      <c r="H196" s="1502">
        <v>0</v>
      </c>
      <c r="I196" s="1502">
        <v>0</v>
      </c>
      <c r="J196" s="1502">
        <v>0</v>
      </c>
      <c r="K196" s="1502">
        <v>0</v>
      </c>
      <c r="L196" s="1502">
        <v>0</v>
      </c>
      <c r="M196" s="1502">
        <f>F196+G196+H196+I196+J196+K196+L196</f>
        <v>0</v>
      </c>
    </row>
    <row r="197" spans="1:13" ht="24" customHeight="1">
      <c r="A197" s="1593"/>
      <c r="B197" s="1599"/>
      <c r="C197" s="1600"/>
      <c r="D197" s="1602">
        <v>3</v>
      </c>
      <c r="E197" s="1320" t="s">
        <v>1033</v>
      </c>
      <c r="F197" s="1502">
        <v>0</v>
      </c>
      <c r="G197" s="1502">
        <v>0</v>
      </c>
      <c r="H197" s="1502">
        <v>0</v>
      </c>
      <c r="I197" s="1502">
        <v>0</v>
      </c>
      <c r="J197" s="1502">
        <v>0</v>
      </c>
      <c r="K197" s="1502">
        <v>0</v>
      </c>
      <c r="L197" s="1502">
        <v>0</v>
      </c>
      <c r="M197" s="1502">
        <f>F197+G197+H197+I197+J197+K197+L197</f>
        <v>0</v>
      </c>
    </row>
    <row r="198" spans="1:13" ht="24" customHeight="1">
      <c r="A198" s="1593"/>
      <c r="B198" s="1599"/>
      <c r="C198" s="1600"/>
      <c r="D198" s="1602">
        <v>4</v>
      </c>
      <c r="E198" s="1320" t="s">
        <v>1034</v>
      </c>
      <c r="F198" s="1502">
        <v>0</v>
      </c>
      <c r="G198" s="1502">
        <v>0</v>
      </c>
      <c r="H198" s="1502">
        <v>0</v>
      </c>
      <c r="I198" s="1502">
        <v>0</v>
      </c>
      <c r="J198" s="1502">
        <v>0</v>
      </c>
      <c r="K198" s="1502">
        <v>0</v>
      </c>
      <c r="L198" s="1502">
        <v>0</v>
      </c>
      <c r="M198" s="1502">
        <f>F198+G198+H198+I198+J198+K198+L198</f>
        <v>0</v>
      </c>
    </row>
    <row r="199" spans="1:13" ht="24" customHeight="1">
      <c r="A199" s="1593"/>
      <c r="B199" s="1599"/>
      <c r="C199" s="1605" t="s">
        <v>121</v>
      </c>
      <c r="D199" s="1601"/>
      <c r="E199" s="1315" t="s">
        <v>1035</v>
      </c>
      <c r="F199" s="1316">
        <f>F201</f>
        <v>0</v>
      </c>
      <c r="G199" s="1316">
        <v>0</v>
      </c>
      <c r="H199" s="1316">
        <v>0</v>
      </c>
      <c r="I199" s="1316">
        <v>0</v>
      </c>
      <c r="J199" s="1316">
        <v>0</v>
      </c>
      <c r="K199" s="1316">
        <v>0</v>
      </c>
      <c r="L199" s="1316">
        <v>0</v>
      </c>
      <c r="M199" s="1316">
        <f>F199+G199+H199+I199+J199+K199+L199</f>
        <v>0</v>
      </c>
    </row>
    <row r="200" spans="1:13" ht="16.5" customHeight="1">
      <c r="A200" s="1593"/>
      <c r="B200" s="1599"/>
      <c r="C200" s="1600"/>
      <c r="D200" s="1602"/>
      <c r="E200" s="1603" t="s">
        <v>706</v>
      </c>
      <c r="F200" s="1502"/>
      <c r="G200" s="1502"/>
      <c r="H200" s="1502"/>
      <c r="I200" s="1502"/>
      <c r="J200" s="1502"/>
      <c r="K200" s="1502"/>
      <c r="L200" s="1502"/>
      <c r="M200" s="1502"/>
    </row>
    <row r="201" spans="1:13" ht="38.25" customHeight="1">
      <c r="A201" s="1593"/>
      <c r="B201" s="1599"/>
      <c r="C201" s="1600"/>
      <c r="D201" s="1602">
        <v>1</v>
      </c>
      <c r="E201" s="1320" t="s">
        <v>1036</v>
      </c>
      <c r="F201" s="1502">
        <v>0</v>
      </c>
      <c r="G201" s="1502">
        <v>0</v>
      </c>
      <c r="H201" s="1502">
        <v>0</v>
      </c>
      <c r="I201" s="1502">
        <v>0</v>
      </c>
      <c r="J201" s="1502">
        <v>0</v>
      </c>
      <c r="K201" s="1502">
        <v>0</v>
      </c>
      <c r="L201" s="1502">
        <v>0</v>
      </c>
      <c r="M201" s="1502">
        <f>SUM(F201:L201)</f>
        <v>0</v>
      </c>
    </row>
    <row r="202" spans="1:13" ht="36" customHeight="1">
      <c r="A202" s="1614"/>
      <c r="B202" s="1615">
        <v>75416</v>
      </c>
      <c r="C202" s="1595"/>
      <c r="D202" s="1596"/>
      <c r="E202" s="1597" t="s">
        <v>1049</v>
      </c>
      <c r="F202" s="1598">
        <f aca="true" t="shared" si="31" ref="F202:L202">F203+F209</f>
        <v>0</v>
      </c>
      <c r="G202" s="1598">
        <f>G203+G209</f>
        <v>0</v>
      </c>
      <c r="H202" s="1598">
        <f>H203+H209</f>
        <v>0</v>
      </c>
      <c r="I202" s="1598">
        <f>I203+I209</f>
        <v>0</v>
      </c>
      <c r="J202" s="1598">
        <f>J203+J209</f>
        <v>0</v>
      </c>
      <c r="K202" s="1598">
        <f t="shared" si="31"/>
        <v>0</v>
      </c>
      <c r="L202" s="1598">
        <f t="shared" si="31"/>
        <v>303588</v>
      </c>
      <c r="M202" s="1598">
        <f>SUM(F202:L202)</f>
        <v>303588</v>
      </c>
    </row>
    <row r="203" spans="1:13" ht="24" customHeight="1">
      <c r="A203" s="1593"/>
      <c r="B203" s="1599"/>
      <c r="C203" s="1600" t="s">
        <v>602</v>
      </c>
      <c r="D203" s="1601"/>
      <c r="E203" s="1315" t="s">
        <v>1030</v>
      </c>
      <c r="F203" s="1316">
        <v>0</v>
      </c>
      <c r="G203" s="1316">
        <v>0</v>
      </c>
      <c r="H203" s="1316">
        <v>0</v>
      </c>
      <c r="I203" s="1316">
        <v>0</v>
      </c>
      <c r="J203" s="1316">
        <v>0</v>
      </c>
      <c r="K203" s="1316">
        <v>0</v>
      </c>
      <c r="L203" s="1316">
        <f>167800+6120+34158+5510+73000+16000+1000</f>
        <v>303588</v>
      </c>
      <c r="M203" s="1502">
        <f>F203+G203+H203+I203+J203+K203+L203</f>
        <v>303588</v>
      </c>
    </row>
    <row r="204" spans="1:13" ht="16.5" customHeight="1">
      <c r="A204" s="1593"/>
      <c r="B204" s="1599"/>
      <c r="C204" s="1600"/>
      <c r="D204" s="1602"/>
      <c r="E204" s="1603" t="s">
        <v>706</v>
      </c>
      <c r="F204" s="1502"/>
      <c r="G204" s="1502"/>
      <c r="H204" s="1502"/>
      <c r="I204" s="1502"/>
      <c r="J204" s="1502"/>
      <c r="K204" s="1502"/>
      <c r="L204" s="1502"/>
      <c r="M204" s="1502"/>
    </row>
    <row r="205" spans="1:13" ht="24" customHeight="1">
      <c r="A205" s="1593"/>
      <c r="B205" s="1599"/>
      <c r="C205" s="1600"/>
      <c r="D205" s="1602">
        <v>1</v>
      </c>
      <c r="E205" s="1604" t="s">
        <v>1031</v>
      </c>
      <c r="F205" s="1502">
        <v>0</v>
      </c>
      <c r="G205" s="1502">
        <v>0</v>
      </c>
      <c r="H205" s="1502">
        <v>0</v>
      </c>
      <c r="I205" s="1502">
        <v>0</v>
      </c>
      <c r="J205" s="1502">
        <v>0</v>
      </c>
      <c r="K205" s="1502">
        <v>0</v>
      </c>
      <c r="L205" s="1502">
        <f>167800+6120+34158</f>
        <v>208078</v>
      </c>
      <c r="M205" s="1502">
        <f>F205+G205+H205+I205+J205+K205+L205</f>
        <v>208078</v>
      </c>
    </row>
    <row r="206" spans="1:13" ht="24" customHeight="1">
      <c r="A206" s="1593"/>
      <c r="B206" s="1599"/>
      <c r="C206" s="1600"/>
      <c r="D206" s="1602">
        <v>2</v>
      </c>
      <c r="E206" s="1320" t="s">
        <v>1032</v>
      </c>
      <c r="F206" s="1502">
        <v>0</v>
      </c>
      <c r="G206" s="1502">
        <v>0</v>
      </c>
      <c r="H206" s="1502">
        <v>0</v>
      </c>
      <c r="I206" s="1502">
        <v>0</v>
      </c>
      <c r="J206" s="1502">
        <v>0</v>
      </c>
      <c r="K206" s="1502">
        <v>0</v>
      </c>
      <c r="L206" s="1502">
        <v>0</v>
      </c>
      <c r="M206" s="1502">
        <f>F206+G206+H206+I206+J206+K206+L206</f>
        <v>0</v>
      </c>
    </row>
    <row r="207" spans="1:13" ht="24" customHeight="1">
      <c r="A207" s="1593"/>
      <c r="B207" s="1599"/>
      <c r="C207" s="1600"/>
      <c r="D207" s="1602">
        <v>3</v>
      </c>
      <c r="E207" s="1320" t="s">
        <v>1033</v>
      </c>
      <c r="F207" s="1502">
        <v>0</v>
      </c>
      <c r="G207" s="1502">
        <v>0</v>
      </c>
      <c r="H207" s="1502">
        <v>0</v>
      </c>
      <c r="I207" s="1502">
        <v>0</v>
      </c>
      <c r="J207" s="1502">
        <v>0</v>
      </c>
      <c r="K207" s="1502">
        <v>0</v>
      </c>
      <c r="L207" s="1502">
        <v>0</v>
      </c>
      <c r="M207" s="1502">
        <f>F207+G207+H207+I207+J207+K207+L207</f>
        <v>0</v>
      </c>
    </row>
    <row r="208" spans="1:13" ht="24" customHeight="1">
      <c r="A208" s="1593"/>
      <c r="B208" s="1599"/>
      <c r="C208" s="1600"/>
      <c r="D208" s="1602">
        <v>4</v>
      </c>
      <c r="E208" s="1320" t="s">
        <v>1034</v>
      </c>
      <c r="F208" s="1502">
        <v>0</v>
      </c>
      <c r="G208" s="1502">
        <v>0</v>
      </c>
      <c r="H208" s="1502">
        <v>0</v>
      </c>
      <c r="I208" s="1502">
        <v>0</v>
      </c>
      <c r="J208" s="1502">
        <v>0</v>
      </c>
      <c r="K208" s="1502">
        <v>0</v>
      </c>
      <c r="L208" s="1502">
        <v>0</v>
      </c>
      <c r="M208" s="1502">
        <f>F208+G208+H208+I208+J208+K208+L208</f>
        <v>0</v>
      </c>
    </row>
    <row r="209" spans="1:13" ht="24" customHeight="1">
      <c r="A209" s="1593"/>
      <c r="B209" s="1599"/>
      <c r="C209" s="1605" t="s">
        <v>121</v>
      </c>
      <c r="D209" s="1601"/>
      <c r="E209" s="1315" t="s">
        <v>1035</v>
      </c>
      <c r="F209" s="1316">
        <f>F211</f>
        <v>0</v>
      </c>
      <c r="G209" s="1316">
        <v>0</v>
      </c>
      <c r="H209" s="1316">
        <v>0</v>
      </c>
      <c r="I209" s="1316">
        <v>0</v>
      </c>
      <c r="J209" s="1316">
        <v>0</v>
      </c>
      <c r="K209" s="1316">
        <v>0</v>
      </c>
      <c r="L209" s="1316">
        <v>0</v>
      </c>
      <c r="M209" s="1316">
        <f>F209+G209+H209+I209+J209+K209+L209</f>
        <v>0</v>
      </c>
    </row>
    <row r="210" spans="1:13" ht="16.5" customHeight="1">
      <c r="A210" s="1593"/>
      <c r="B210" s="1599"/>
      <c r="C210" s="1600"/>
      <c r="D210" s="1602"/>
      <c r="E210" s="1603" t="s">
        <v>706</v>
      </c>
      <c r="F210" s="1502"/>
      <c r="G210" s="1502"/>
      <c r="H210" s="1502"/>
      <c r="I210" s="1502"/>
      <c r="J210" s="1502"/>
      <c r="K210" s="1502"/>
      <c r="L210" s="1502"/>
      <c r="M210" s="1502"/>
    </row>
    <row r="211" spans="1:13" ht="38.25" customHeight="1">
      <c r="A211" s="1593"/>
      <c r="B211" s="1599"/>
      <c r="C211" s="1600"/>
      <c r="D211" s="1602">
        <v>1</v>
      </c>
      <c r="E211" s="1320" t="s">
        <v>1036</v>
      </c>
      <c r="F211" s="1502">
        <v>0</v>
      </c>
      <c r="G211" s="1502">
        <v>0</v>
      </c>
      <c r="H211" s="1502">
        <v>0</v>
      </c>
      <c r="I211" s="1502">
        <v>0</v>
      </c>
      <c r="J211" s="1502">
        <v>0</v>
      </c>
      <c r="K211" s="1502">
        <v>0</v>
      </c>
      <c r="L211" s="1502">
        <v>0</v>
      </c>
      <c r="M211" s="1502">
        <f>SUM(F211:L211)</f>
        <v>0</v>
      </c>
    </row>
    <row r="212" spans="1:13" s="1618" customFormat="1" ht="106.5" customHeight="1">
      <c r="A212" s="1616">
        <v>10</v>
      </c>
      <c r="B212" s="1607">
        <v>756</v>
      </c>
      <c r="C212" s="1606"/>
      <c r="D212" s="1608"/>
      <c r="E212" s="1617" t="s">
        <v>903</v>
      </c>
      <c r="F212" s="1609">
        <f aca="true" t="shared" si="32" ref="F212:L212">F213</f>
        <v>0</v>
      </c>
      <c r="G212" s="1609">
        <f t="shared" si="32"/>
        <v>0</v>
      </c>
      <c r="H212" s="1609">
        <f t="shared" si="32"/>
        <v>0</v>
      </c>
      <c r="I212" s="1609">
        <f t="shared" si="32"/>
        <v>0</v>
      </c>
      <c r="J212" s="1609">
        <f t="shared" si="32"/>
        <v>0</v>
      </c>
      <c r="K212" s="1609">
        <f t="shared" si="32"/>
        <v>0</v>
      </c>
      <c r="L212" s="1609">
        <f t="shared" si="32"/>
        <v>338000</v>
      </c>
      <c r="M212" s="1592">
        <f>SUM(F212:L212)</f>
        <v>338000</v>
      </c>
    </row>
    <row r="213" spans="1:13" ht="45.75" customHeight="1">
      <c r="A213" s="1614"/>
      <c r="B213" s="1615">
        <v>75647</v>
      </c>
      <c r="C213" s="1595"/>
      <c r="D213" s="1596"/>
      <c r="E213" s="1597" t="s">
        <v>904</v>
      </c>
      <c r="F213" s="1598">
        <f aca="true" t="shared" si="33" ref="F213:L213">F214+F220</f>
        <v>0</v>
      </c>
      <c r="G213" s="1598">
        <f t="shared" si="33"/>
        <v>0</v>
      </c>
      <c r="H213" s="1598">
        <f t="shared" si="33"/>
        <v>0</v>
      </c>
      <c r="I213" s="1598">
        <f t="shared" si="33"/>
        <v>0</v>
      </c>
      <c r="J213" s="1598">
        <f t="shared" si="33"/>
        <v>0</v>
      </c>
      <c r="K213" s="1598">
        <f t="shared" si="33"/>
        <v>0</v>
      </c>
      <c r="L213" s="1598">
        <f t="shared" si="33"/>
        <v>338000</v>
      </c>
      <c r="M213" s="1598">
        <f>SUM(F213:L213)</f>
        <v>338000</v>
      </c>
    </row>
    <row r="214" spans="1:13" ht="24" customHeight="1">
      <c r="A214" s="1593"/>
      <c r="B214" s="1599"/>
      <c r="C214" s="1600" t="s">
        <v>602</v>
      </c>
      <c r="D214" s="1601"/>
      <c r="E214" s="1315" t="s">
        <v>1030</v>
      </c>
      <c r="F214" s="1316">
        <v>0</v>
      </c>
      <c r="G214" s="1316">
        <v>0</v>
      </c>
      <c r="H214" s="1316">
        <v>0</v>
      </c>
      <c r="I214" s="1316">
        <v>0</v>
      </c>
      <c r="J214" s="1316">
        <v>0</v>
      </c>
      <c r="K214" s="1316">
        <v>0</v>
      </c>
      <c r="L214" s="1316">
        <f>70000+10000+3000+5000+250000</f>
        <v>338000</v>
      </c>
      <c r="M214" s="1502">
        <f>F214+G214+H214+I214+J214+K214+L214</f>
        <v>338000</v>
      </c>
    </row>
    <row r="215" spans="1:13" ht="16.5" customHeight="1">
      <c r="A215" s="1593"/>
      <c r="B215" s="1599"/>
      <c r="C215" s="1600"/>
      <c r="D215" s="1602"/>
      <c r="E215" s="1603" t="s">
        <v>706</v>
      </c>
      <c r="F215" s="1502"/>
      <c r="G215" s="1502"/>
      <c r="H215" s="1502"/>
      <c r="I215" s="1502"/>
      <c r="J215" s="1502"/>
      <c r="K215" s="1502"/>
      <c r="L215" s="1502"/>
      <c r="M215" s="1502"/>
    </row>
    <row r="216" spans="1:13" ht="24" customHeight="1">
      <c r="A216" s="1593"/>
      <c r="B216" s="1599"/>
      <c r="C216" s="1600"/>
      <c r="D216" s="1602">
        <v>1</v>
      </c>
      <c r="E216" s="1604" t="s">
        <v>1031</v>
      </c>
      <c r="F216" s="1502">
        <v>0</v>
      </c>
      <c r="G216" s="1502">
        <v>0</v>
      </c>
      <c r="H216" s="1502">
        <v>0</v>
      </c>
      <c r="I216" s="1502">
        <v>0</v>
      </c>
      <c r="J216" s="1502">
        <v>0</v>
      </c>
      <c r="K216" s="1502">
        <v>0</v>
      </c>
      <c r="L216" s="1502">
        <f>70000</f>
        <v>70000</v>
      </c>
      <c r="M216" s="1502">
        <f>F216+G216+H216+I216+J216+K216+L216</f>
        <v>70000</v>
      </c>
    </row>
    <row r="217" spans="1:13" ht="24" customHeight="1">
      <c r="A217" s="1593"/>
      <c r="B217" s="1599"/>
      <c r="C217" s="1600"/>
      <c r="D217" s="1602">
        <v>2</v>
      </c>
      <c r="E217" s="1320" t="s">
        <v>1032</v>
      </c>
      <c r="F217" s="1502">
        <v>0</v>
      </c>
      <c r="G217" s="1502">
        <v>0</v>
      </c>
      <c r="H217" s="1502">
        <v>0</v>
      </c>
      <c r="I217" s="1502">
        <v>0</v>
      </c>
      <c r="J217" s="1502">
        <v>0</v>
      </c>
      <c r="K217" s="1502">
        <v>0</v>
      </c>
      <c r="L217" s="1502">
        <v>0</v>
      </c>
      <c r="M217" s="1502">
        <f>F217+G217+H217+I217+J217+K217+L217</f>
        <v>0</v>
      </c>
    </row>
    <row r="218" spans="1:13" ht="24" customHeight="1">
      <c r="A218" s="1593"/>
      <c r="B218" s="1599"/>
      <c r="C218" s="1600"/>
      <c r="D218" s="1602">
        <v>3</v>
      </c>
      <c r="E218" s="1320" t="s">
        <v>1033</v>
      </c>
      <c r="F218" s="1502">
        <v>0</v>
      </c>
      <c r="G218" s="1502">
        <v>0</v>
      </c>
      <c r="H218" s="1502">
        <v>0</v>
      </c>
      <c r="I218" s="1502">
        <v>0</v>
      </c>
      <c r="J218" s="1502">
        <v>0</v>
      </c>
      <c r="K218" s="1502">
        <v>0</v>
      </c>
      <c r="L218" s="1502">
        <v>0</v>
      </c>
      <c r="M218" s="1502">
        <f>F218+G218+H218+I218+J218+K218+L218</f>
        <v>0</v>
      </c>
    </row>
    <row r="219" spans="1:13" ht="24" customHeight="1">
      <c r="A219" s="1593"/>
      <c r="B219" s="1599"/>
      <c r="C219" s="1600"/>
      <c r="D219" s="1602">
        <v>4</v>
      </c>
      <c r="E219" s="1320" t="s">
        <v>1034</v>
      </c>
      <c r="F219" s="1502">
        <v>0</v>
      </c>
      <c r="G219" s="1502">
        <v>0</v>
      </c>
      <c r="H219" s="1502">
        <v>0</v>
      </c>
      <c r="I219" s="1502">
        <v>0</v>
      </c>
      <c r="J219" s="1502">
        <v>0</v>
      </c>
      <c r="K219" s="1502">
        <v>0</v>
      </c>
      <c r="L219" s="1502">
        <v>0</v>
      </c>
      <c r="M219" s="1502">
        <f>F219+G219+H219+I219+J219+K219+L219</f>
        <v>0</v>
      </c>
    </row>
    <row r="220" spans="1:13" ht="24" customHeight="1">
      <c r="A220" s="1593"/>
      <c r="B220" s="1599"/>
      <c r="C220" s="1605" t="s">
        <v>121</v>
      </c>
      <c r="D220" s="1601"/>
      <c r="E220" s="1315" t="s">
        <v>1035</v>
      </c>
      <c r="F220" s="1316">
        <f aca="true" t="shared" si="34" ref="F220:L220">F222</f>
        <v>0</v>
      </c>
      <c r="G220" s="1316">
        <f t="shared" si="34"/>
        <v>0</v>
      </c>
      <c r="H220" s="1316">
        <f t="shared" si="34"/>
        <v>0</v>
      </c>
      <c r="I220" s="1316">
        <f t="shared" si="34"/>
        <v>0</v>
      </c>
      <c r="J220" s="1316">
        <f t="shared" si="34"/>
        <v>0</v>
      </c>
      <c r="K220" s="1316">
        <f t="shared" si="34"/>
        <v>0</v>
      </c>
      <c r="L220" s="1316">
        <f t="shared" si="34"/>
        <v>0</v>
      </c>
      <c r="M220" s="1316">
        <f>F220+G220+H220+I220+J220+K220+L220</f>
        <v>0</v>
      </c>
    </row>
    <row r="221" spans="1:13" ht="16.5" customHeight="1">
      <c r="A221" s="1593"/>
      <c r="B221" s="1599"/>
      <c r="C221" s="1600"/>
      <c r="D221" s="1602"/>
      <c r="E221" s="1603" t="s">
        <v>706</v>
      </c>
      <c r="F221" s="1502"/>
      <c r="G221" s="1502"/>
      <c r="H221" s="1502"/>
      <c r="I221" s="1502"/>
      <c r="J221" s="1502"/>
      <c r="K221" s="1502"/>
      <c r="L221" s="1502"/>
      <c r="M221" s="1502"/>
    </row>
    <row r="222" spans="1:13" ht="38.25" customHeight="1">
      <c r="A222" s="1593"/>
      <c r="B222" s="1599"/>
      <c r="C222" s="1600"/>
      <c r="D222" s="1602">
        <v>1</v>
      </c>
      <c r="E222" s="1320" t="s">
        <v>1036</v>
      </c>
      <c r="F222" s="1502">
        <v>0</v>
      </c>
      <c r="G222" s="1502">
        <v>0</v>
      </c>
      <c r="H222" s="1502">
        <v>0</v>
      </c>
      <c r="I222" s="1502">
        <v>0</v>
      </c>
      <c r="J222" s="1502">
        <v>0</v>
      </c>
      <c r="K222" s="1502">
        <v>0</v>
      </c>
      <c r="L222" s="1502">
        <v>0</v>
      </c>
      <c r="M222" s="1502">
        <f>SUM(F222:L222)</f>
        <v>0</v>
      </c>
    </row>
    <row r="223" spans="1:13" ht="40.5" customHeight="1">
      <c r="A223" s="1616">
        <v>11</v>
      </c>
      <c r="B223" s="1607">
        <v>757</v>
      </c>
      <c r="C223" s="1606"/>
      <c r="D223" s="1608"/>
      <c r="E223" s="1608" t="s">
        <v>910</v>
      </c>
      <c r="F223" s="1609">
        <f aca="true" t="shared" si="35" ref="F223:L223">+F224+F234</f>
        <v>0</v>
      </c>
      <c r="G223" s="1609">
        <f t="shared" si="35"/>
        <v>0</v>
      </c>
      <c r="H223" s="1609">
        <f t="shared" si="35"/>
        <v>0</v>
      </c>
      <c r="I223" s="1609">
        <f t="shared" si="35"/>
        <v>0</v>
      </c>
      <c r="J223" s="1609">
        <f t="shared" si="35"/>
        <v>0</v>
      </c>
      <c r="K223" s="1609">
        <f t="shared" si="35"/>
        <v>0</v>
      </c>
      <c r="L223" s="1609">
        <f t="shared" si="35"/>
        <v>350000</v>
      </c>
      <c r="M223" s="1592">
        <f>SUM(F223:L223)</f>
        <v>350000</v>
      </c>
    </row>
    <row r="224" spans="1:13" ht="43.5" customHeight="1">
      <c r="A224" s="1610"/>
      <c r="B224" s="1615">
        <v>75702</v>
      </c>
      <c r="C224" s="1595"/>
      <c r="D224" s="1596"/>
      <c r="E224" s="1597" t="s">
        <v>911</v>
      </c>
      <c r="F224" s="1598">
        <f aca="true" t="shared" si="36" ref="F224:L224">F225+F231</f>
        <v>0</v>
      </c>
      <c r="G224" s="1598">
        <f t="shared" si="36"/>
        <v>0</v>
      </c>
      <c r="H224" s="1598">
        <f t="shared" si="36"/>
        <v>0</v>
      </c>
      <c r="I224" s="1598">
        <f t="shared" si="36"/>
        <v>0</v>
      </c>
      <c r="J224" s="1598">
        <f t="shared" si="36"/>
        <v>0</v>
      </c>
      <c r="K224" s="1598">
        <f t="shared" si="36"/>
        <v>0</v>
      </c>
      <c r="L224" s="1598">
        <f t="shared" si="36"/>
        <v>330000</v>
      </c>
      <c r="M224" s="1598">
        <f>SUM(F224:L224)</f>
        <v>330000</v>
      </c>
    </row>
    <row r="225" spans="1:13" ht="24" customHeight="1">
      <c r="A225" s="1593"/>
      <c r="B225" s="1599"/>
      <c r="C225" s="1600" t="s">
        <v>602</v>
      </c>
      <c r="D225" s="1601"/>
      <c r="E225" s="1315" t="s">
        <v>1030</v>
      </c>
      <c r="F225" s="1316">
        <v>0</v>
      </c>
      <c r="G225" s="1316">
        <v>0</v>
      </c>
      <c r="H225" s="1316">
        <v>0</v>
      </c>
      <c r="I225" s="1316">
        <v>0</v>
      </c>
      <c r="J225" s="1316">
        <v>0</v>
      </c>
      <c r="K225" s="1316">
        <v>0</v>
      </c>
      <c r="L225" s="1316">
        <f>340000-10000</f>
        <v>330000</v>
      </c>
      <c r="M225" s="1502">
        <f>F225+G225+H225+I225+J225+K225+L225</f>
        <v>330000</v>
      </c>
    </row>
    <row r="226" spans="1:13" ht="16.5" customHeight="1">
      <c r="A226" s="1593"/>
      <c r="B226" s="1599"/>
      <c r="C226" s="1600"/>
      <c r="D226" s="1602"/>
      <c r="E226" s="1603" t="s">
        <v>706</v>
      </c>
      <c r="F226" s="1502"/>
      <c r="G226" s="1502"/>
      <c r="H226" s="1502"/>
      <c r="I226" s="1502"/>
      <c r="J226" s="1502"/>
      <c r="K226" s="1502"/>
      <c r="L226" s="1502"/>
      <c r="M226" s="1502"/>
    </row>
    <row r="227" spans="1:13" ht="24" customHeight="1">
      <c r="A227" s="1593"/>
      <c r="B227" s="1599"/>
      <c r="C227" s="1600"/>
      <c r="D227" s="1602">
        <v>1</v>
      </c>
      <c r="E227" s="1604" t="s">
        <v>1031</v>
      </c>
      <c r="F227" s="1502">
        <v>0</v>
      </c>
      <c r="G227" s="1502">
        <v>0</v>
      </c>
      <c r="H227" s="1502">
        <v>0</v>
      </c>
      <c r="I227" s="1502">
        <v>0</v>
      </c>
      <c r="J227" s="1502">
        <v>0</v>
      </c>
      <c r="K227" s="1502">
        <v>0</v>
      </c>
      <c r="L227" s="1502">
        <v>0</v>
      </c>
      <c r="M227" s="1502">
        <f>F227+G227+H227+I227+J227+K227+L227</f>
        <v>0</v>
      </c>
    </row>
    <row r="228" spans="1:13" ht="24" customHeight="1">
      <c r="A228" s="1593"/>
      <c r="B228" s="1599"/>
      <c r="C228" s="1600"/>
      <c r="D228" s="1602">
        <v>2</v>
      </c>
      <c r="E228" s="1320" t="s">
        <v>1032</v>
      </c>
      <c r="F228" s="1502">
        <v>0</v>
      </c>
      <c r="G228" s="1502">
        <v>0</v>
      </c>
      <c r="H228" s="1502">
        <v>0</v>
      </c>
      <c r="I228" s="1502">
        <v>0</v>
      </c>
      <c r="J228" s="1502">
        <v>0</v>
      </c>
      <c r="K228" s="1502">
        <v>0</v>
      </c>
      <c r="L228" s="1502">
        <v>0</v>
      </c>
      <c r="M228" s="1502">
        <f>F228+G228+H228+I228+J228+K228+L228</f>
        <v>0</v>
      </c>
    </row>
    <row r="229" spans="1:13" ht="24" customHeight="1">
      <c r="A229" s="1593"/>
      <c r="B229" s="1599"/>
      <c r="C229" s="1600"/>
      <c r="D229" s="1602">
        <v>3</v>
      </c>
      <c r="E229" s="1320" t="s">
        <v>1033</v>
      </c>
      <c r="F229" s="1502">
        <v>0</v>
      </c>
      <c r="G229" s="1502">
        <v>0</v>
      </c>
      <c r="H229" s="1502">
        <v>0</v>
      </c>
      <c r="I229" s="1502">
        <v>0</v>
      </c>
      <c r="J229" s="1502">
        <v>0</v>
      </c>
      <c r="K229" s="1502">
        <v>0</v>
      </c>
      <c r="L229" s="1502">
        <f>350000-10000-10000</f>
        <v>330000</v>
      </c>
      <c r="M229" s="1502">
        <f>F229+G229+H229+I229+J229+K229+L229</f>
        <v>330000</v>
      </c>
    </row>
    <row r="230" spans="1:13" ht="24" customHeight="1">
      <c r="A230" s="1593"/>
      <c r="B230" s="1599"/>
      <c r="C230" s="1600"/>
      <c r="D230" s="1602">
        <v>4</v>
      </c>
      <c r="E230" s="1320" t="s">
        <v>1034</v>
      </c>
      <c r="F230" s="1502">
        <v>0</v>
      </c>
      <c r="G230" s="1502">
        <v>0</v>
      </c>
      <c r="H230" s="1502">
        <v>0</v>
      </c>
      <c r="I230" s="1502">
        <v>0</v>
      </c>
      <c r="J230" s="1502">
        <v>0</v>
      </c>
      <c r="K230" s="1502">
        <v>0</v>
      </c>
      <c r="L230" s="1502">
        <v>0</v>
      </c>
      <c r="M230" s="1502">
        <f>F230+G230+H230+I230+J230+K230+L230</f>
        <v>0</v>
      </c>
    </row>
    <row r="231" spans="1:13" ht="24" customHeight="1">
      <c r="A231" s="1593"/>
      <c r="B231" s="1599"/>
      <c r="C231" s="1605" t="s">
        <v>121</v>
      </c>
      <c r="D231" s="1601"/>
      <c r="E231" s="1315" t="s">
        <v>1035</v>
      </c>
      <c r="F231" s="1316">
        <f aca="true" t="shared" si="37" ref="F231:K231">F233</f>
        <v>0</v>
      </c>
      <c r="G231" s="1316">
        <f t="shared" si="37"/>
        <v>0</v>
      </c>
      <c r="H231" s="1316">
        <f t="shared" si="37"/>
        <v>0</v>
      </c>
      <c r="I231" s="1316">
        <f t="shared" si="37"/>
        <v>0</v>
      </c>
      <c r="J231" s="1316">
        <f t="shared" si="37"/>
        <v>0</v>
      </c>
      <c r="K231" s="1316">
        <f t="shared" si="37"/>
        <v>0</v>
      </c>
      <c r="L231" s="1316">
        <v>0</v>
      </c>
      <c r="M231" s="1316">
        <f>F231+G231+H231+I231+J231+K231+L231</f>
        <v>0</v>
      </c>
    </row>
    <row r="232" spans="1:13" ht="16.5" customHeight="1">
      <c r="A232" s="1593"/>
      <c r="B232" s="1599"/>
      <c r="C232" s="1600"/>
      <c r="D232" s="1602"/>
      <c r="E232" s="1603" t="s">
        <v>706</v>
      </c>
      <c r="F232" s="1502"/>
      <c r="G232" s="1502"/>
      <c r="H232" s="1502"/>
      <c r="I232" s="1502"/>
      <c r="J232" s="1502"/>
      <c r="K232" s="1502"/>
      <c r="L232" s="1502"/>
      <c r="M232" s="1502"/>
    </row>
    <row r="233" spans="1:13" ht="38.25" customHeight="1">
      <c r="A233" s="1593"/>
      <c r="B233" s="1599"/>
      <c r="C233" s="1600"/>
      <c r="D233" s="1602">
        <v>1</v>
      </c>
      <c r="E233" s="1320" t="s">
        <v>1036</v>
      </c>
      <c r="F233" s="1502">
        <v>0</v>
      </c>
      <c r="G233" s="1502">
        <v>0</v>
      </c>
      <c r="H233" s="1502">
        <v>0</v>
      </c>
      <c r="I233" s="1502">
        <v>0</v>
      </c>
      <c r="J233" s="1502">
        <v>0</v>
      </c>
      <c r="K233" s="1502">
        <v>0</v>
      </c>
      <c r="L233" s="1502">
        <v>0</v>
      </c>
      <c r="M233" s="1502">
        <f>SUM(F233:L233)</f>
        <v>0</v>
      </c>
    </row>
    <row r="234" spans="1:13" ht="50.25" customHeight="1">
      <c r="A234" s="1610"/>
      <c r="B234" s="1615">
        <v>75704</v>
      </c>
      <c r="C234" s="1595"/>
      <c r="D234" s="1596"/>
      <c r="E234" s="1597" t="s">
        <v>913</v>
      </c>
      <c r="F234" s="1598">
        <f aca="true" t="shared" si="38" ref="F234:L234">F235+F241</f>
        <v>0</v>
      </c>
      <c r="G234" s="1598">
        <f t="shared" si="38"/>
        <v>0</v>
      </c>
      <c r="H234" s="1598">
        <f t="shared" si="38"/>
        <v>0</v>
      </c>
      <c r="I234" s="1598">
        <f t="shared" si="38"/>
        <v>0</v>
      </c>
      <c r="J234" s="1598">
        <f t="shared" si="38"/>
        <v>0</v>
      </c>
      <c r="K234" s="1598">
        <f t="shared" si="38"/>
        <v>0</v>
      </c>
      <c r="L234" s="1598">
        <f t="shared" si="38"/>
        <v>20000</v>
      </c>
      <c r="M234" s="1598">
        <f>SUM(F234:L234)</f>
        <v>20000</v>
      </c>
    </row>
    <row r="235" spans="1:13" ht="24" customHeight="1">
      <c r="A235" s="1593"/>
      <c r="B235" s="1599"/>
      <c r="C235" s="1600" t="s">
        <v>602</v>
      </c>
      <c r="D235" s="1601"/>
      <c r="E235" s="1315" t="s">
        <v>1030</v>
      </c>
      <c r="F235" s="1316">
        <v>0</v>
      </c>
      <c r="G235" s="1316">
        <v>0</v>
      </c>
      <c r="H235" s="1316">
        <v>0</v>
      </c>
      <c r="I235" s="1316">
        <v>0</v>
      </c>
      <c r="J235" s="1316">
        <v>0</v>
      </c>
      <c r="K235" s="1316">
        <v>0</v>
      </c>
      <c r="L235" s="1316">
        <f>30000-10000</f>
        <v>20000</v>
      </c>
      <c r="M235" s="1502">
        <f>F235+G235+H235+I235+J235+K235+L235</f>
        <v>20000</v>
      </c>
    </row>
    <row r="236" spans="1:13" ht="16.5" customHeight="1">
      <c r="A236" s="1593"/>
      <c r="B236" s="1599"/>
      <c r="C236" s="1600"/>
      <c r="D236" s="1602"/>
      <c r="E236" s="1603" t="s">
        <v>706</v>
      </c>
      <c r="F236" s="1502"/>
      <c r="G236" s="1502"/>
      <c r="H236" s="1502"/>
      <c r="I236" s="1502"/>
      <c r="J236" s="1502"/>
      <c r="K236" s="1502"/>
      <c r="L236" s="1502"/>
      <c r="M236" s="1502"/>
    </row>
    <row r="237" spans="1:13" ht="24" customHeight="1">
      <c r="A237" s="1593"/>
      <c r="B237" s="1599"/>
      <c r="C237" s="1600"/>
      <c r="D237" s="1602">
        <v>1</v>
      </c>
      <c r="E237" s="1604" t="s">
        <v>1031</v>
      </c>
      <c r="F237" s="1502">
        <v>0</v>
      </c>
      <c r="G237" s="1502">
        <v>0</v>
      </c>
      <c r="H237" s="1502">
        <v>0</v>
      </c>
      <c r="I237" s="1502">
        <v>0</v>
      </c>
      <c r="J237" s="1502">
        <v>0</v>
      </c>
      <c r="K237" s="1502">
        <v>0</v>
      </c>
      <c r="L237" s="1502">
        <v>0</v>
      </c>
      <c r="M237" s="1502">
        <f>F237+G237+H237+I237+J237+K237+L237</f>
        <v>0</v>
      </c>
    </row>
    <row r="238" spans="1:13" ht="24" customHeight="1">
      <c r="A238" s="1593"/>
      <c r="B238" s="1599"/>
      <c r="C238" s="1600"/>
      <c r="D238" s="1602">
        <v>2</v>
      </c>
      <c r="E238" s="1320" t="s">
        <v>1032</v>
      </c>
      <c r="F238" s="1502">
        <v>0</v>
      </c>
      <c r="G238" s="1502">
        <v>0</v>
      </c>
      <c r="H238" s="1502">
        <v>0</v>
      </c>
      <c r="I238" s="1502">
        <v>0</v>
      </c>
      <c r="J238" s="1502">
        <v>0</v>
      </c>
      <c r="K238" s="1502">
        <v>0</v>
      </c>
      <c r="L238" s="1502">
        <v>0</v>
      </c>
      <c r="M238" s="1502">
        <f>F238+G238+H238+I238+J238+K238+L238</f>
        <v>0</v>
      </c>
    </row>
    <row r="239" spans="1:13" ht="24" customHeight="1">
      <c r="A239" s="1593"/>
      <c r="B239" s="1599"/>
      <c r="C239" s="1600"/>
      <c r="D239" s="1602">
        <v>3</v>
      </c>
      <c r="E239" s="1320" t="s">
        <v>1033</v>
      </c>
      <c r="F239" s="1502">
        <v>0</v>
      </c>
      <c r="G239" s="1502">
        <v>0</v>
      </c>
      <c r="H239" s="1502">
        <v>0</v>
      </c>
      <c r="I239" s="1502">
        <v>0</v>
      </c>
      <c r="J239" s="1502">
        <v>0</v>
      </c>
      <c r="K239" s="1502">
        <v>0</v>
      </c>
      <c r="L239" s="1502">
        <v>0</v>
      </c>
      <c r="M239" s="1502">
        <f>F239+G239+H239+I239+J239+K239+L239</f>
        <v>0</v>
      </c>
    </row>
    <row r="240" spans="1:13" ht="24" customHeight="1">
      <c r="A240" s="1593"/>
      <c r="B240" s="1599"/>
      <c r="C240" s="1600"/>
      <c r="D240" s="1602">
        <v>4</v>
      </c>
      <c r="E240" s="1320" t="s">
        <v>1034</v>
      </c>
      <c r="F240" s="1502">
        <v>0</v>
      </c>
      <c r="G240" s="1502">
        <v>0</v>
      </c>
      <c r="H240" s="1502">
        <v>0</v>
      </c>
      <c r="I240" s="1502">
        <v>0</v>
      </c>
      <c r="J240" s="1502">
        <v>0</v>
      </c>
      <c r="K240" s="1502">
        <v>0</v>
      </c>
      <c r="L240" s="1502">
        <f>30000-10000</f>
        <v>20000</v>
      </c>
      <c r="M240" s="1502">
        <f>F240+G240+H240+I240+J240+K240+L240</f>
        <v>20000</v>
      </c>
    </row>
    <row r="241" spans="1:13" ht="24" customHeight="1">
      <c r="A241" s="1593"/>
      <c r="B241" s="1599"/>
      <c r="C241" s="1605" t="s">
        <v>121</v>
      </c>
      <c r="D241" s="1601"/>
      <c r="E241" s="1315" t="s">
        <v>1035</v>
      </c>
      <c r="F241" s="1316">
        <f aca="true" t="shared" si="39" ref="F241:K241">F243</f>
        <v>0</v>
      </c>
      <c r="G241" s="1316">
        <f t="shared" si="39"/>
        <v>0</v>
      </c>
      <c r="H241" s="1316">
        <f t="shared" si="39"/>
        <v>0</v>
      </c>
      <c r="I241" s="1316">
        <f t="shared" si="39"/>
        <v>0</v>
      </c>
      <c r="J241" s="1316">
        <f t="shared" si="39"/>
        <v>0</v>
      </c>
      <c r="K241" s="1316">
        <f t="shared" si="39"/>
        <v>0</v>
      </c>
      <c r="L241" s="1316">
        <v>0</v>
      </c>
      <c r="M241" s="1316">
        <f>F241+G241+H241+I241+J241+K241+L241</f>
        <v>0</v>
      </c>
    </row>
    <row r="242" spans="1:13" ht="16.5" customHeight="1">
      <c r="A242" s="1593"/>
      <c r="B242" s="1599"/>
      <c r="C242" s="1600"/>
      <c r="D242" s="1602"/>
      <c r="E242" s="1603" t="s">
        <v>706</v>
      </c>
      <c r="F242" s="1502"/>
      <c r="G242" s="1502"/>
      <c r="H242" s="1502"/>
      <c r="I242" s="1502"/>
      <c r="J242" s="1502"/>
      <c r="K242" s="1502"/>
      <c r="L242" s="1502"/>
      <c r="M242" s="1502"/>
    </row>
    <row r="243" spans="1:13" ht="38.25" customHeight="1">
      <c r="A243" s="1593"/>
      <c r="B243" s="1599"/>
      <c r="C243" s="1600"/>
      <c r="D243" s="1602">
        <v>1</v>
      </c>
      <c r="E243" s="1320" t="s">
        <v>1036</v>
      </c>
      <c r="F243" s="1502">
        <v>0</v>
      </c>
      <c r="G243" s="1502">
        <v>0</v>
      </c>
      <c r="H243" s="1502">
        <v>0</v>
      </c>
      <c r="I243" s="1502">
        <v>0</v>
      </c>
      <c r="J243" s="1502">
        <v>0</v>
      </c>
      <c r="K243" s="1502">
        <v>0</v>
      </c>
      <c r="L243" s="1502">
        <v>0</v>
      </c>
      <c r="M243" s="1502">
        <f>SUM(F243:L243)</f>
        <v>0</v>
      </c>
    </row>
    <row r="244" spans="1:13" ht="36" customHeight="1">
      <c r="A244" s="1616">
        <v>12</v>
      </c>
      <c r="B244" s="1607">
        <v>758</v>
      </c>
      <c r="C244" s="1606"/>
      <c r="D244" s="1608"/>
      <c r="E244" s="1608" t="s">
        <v>916</v>
      </c>
      <c r="F244" s="1609">
        <f aca="true" t="shared" si="40" ref="F244:L244">+F245</f>
        <v>0</v>
      </c>
      <c r="G244" s="1609">
        <f t="shared" si="40"/>
        <v>0</v>
      </c>
      <c r="H244" s="1609">
        <f t="shared" si="40"/>
        <v>0</v>
      </c>
      <c r="I244" s="1609">
        <f t="shared" si="40"/>
        <v>0</v>
      </c>
      <c r="J244" s="1609">
        <f t="shared" si="40"/>
        <v>0</v>
      </c>
      <c r="K244" s="1609">
        <f t="shared" si="40"/>
        <v>0</v>
      </c>
      <c r="L244" s="1609">
        <f t="shared" si="40"/>
        <v>354000</v>
      </c>
      <c r="M244" s="1592">
        <f>SUM(F244:L244)</f>
        <v>354000</v>
      </c>
    </row>
    <row r="245" spans="1:13" ht="36" customHeight="1">
      <c r="A245" s="1610"/>
      <c r="B245" s="1615">
        <v>75818</v>
      </c>
      <c r="C245" s="1595"/>
      <c r="D245" s="1596"/>
      <c r="E245" s="1597" t="s">
        <v>918</v>
      </c>
      <c r="F245" s="1598">
        <f aca="true" t="shared" si="41" ref="F245:L245">F246+F252</f>
        <v>0</v>
      </c>
      <c r="G245" s="1598">
        <f t="shared" si="41"/>
        <v>0</v>
      </c>
      <c r="H245" s="1598">
        <f t="shared" si="41"/>
        <v>0</v>
      </c>
      <c r="I245" s="1598">
        <f t="shared" si="41"/>
        <v>0</v>
      </c>
      <c r="J245" s="1598">
        <f t="shared" si="41"/>
        <v>0</v>
      </c>
      <c r="K245" s="1598">
        <f t="shared" si="41"/>
        <v>0</v>
      </c>
      <c r="L245" s="1598">
        <f t="shared" si="41"/>
        <v>354000</v>
      </c>
      <c r="M245" s="1598">
        <f>SUM(F245:L245)</f>
        <v>354000</v>
      </c>
    </row>
    <row r="246" spans="1:13" ht="24" customHeight="1">
      <c r="A246" s="1593"/>
      <c r="B246" s="1599"/>
      <c r="C246" s="1600" t="s">
        <v>602</v>
      </c>
      <c r="D246" s="1601"/>
      <c r="E246" s="1315" t="s">
        <v>1030</v>
      </c>
      <c r="F246" s="1316">
        <v>0</v>
      </c>
      <c r="G246" s="1316">
        <v>0</v>
      </c>
      <c r="H246" s="1316">
        <v>0</v>
      </c>
      <c r="I246" s="1316">
        <v>0</v>
      </c>
      <c r="J246" s="1316">
        <v>0</v>
      </c>
      <c r="K246" s="1316">
        <v>0</v>
      </c>
      <c r="L246" s="1316">
        <f>250000+104000</f>
        <v>354000</v>
      </c>
      <c r="M246" s="1502">
        <f>F246+G246+H246+I246+J246+K246+L246</f>
        <v>354000</v>
      </c>
    </row>
    <row r="247" spans="1:13" ht="16.5" customHeight="1">
      <c r="A247" s="1593"/>
      <c r="B247" s="1599"/>
      <c r="C247" s="1600"/>
      <c r="D247" s="1602"/>
      <c r="E247" s="1603" t="s">
        <v>706</v>
      </c>
      <c r="F247" s="1502"/>
      <c r="G247" s="1502"/>
      <c r="H247" s="1502"/>
      <c r="I247" s="1502"/>
      <c r="J247" s="1502"/>
      <c r="K247" s="1502"/>
      <c r="L247" s="1502"/>
      <c r="M247" s="1502"/>
    </row>
    <row r="248" spans="1:13" ht="24" customHeight="1">
      <c r="A248" s="1593"/>
      <c r="B248" s="1599"/>
      <c r="C248" s="1600"/>
      <c r="D248" s="1602">
        <v>1</v>
      </c>
      <c r="E248" s="1604" t="s">
        <v>1031</v>
      </c>
      <c r="F248" s="1502">
        <v>0</v>
      </c>
      <c r="G248" s="1502">
        <v>0</v>
      </c>
      <c r="H248" s="1502">
        <v>0</v>
      </c>
      <c r="I248" s="1502">
        <v>0</v>
      </c>
      <c r="J248" s="1502">
        <v>0</v>
      </c>
      <c r="K248" s="1502">
        <v>0</v>
      </c>
      <c r="L248" s="1502">
        <v>0</v>
      </c>
      <c r="M248" s="1502">
        <f>F248+G248+H248+I248+J248+K248+L248</f>
        <v>0</v>
      </c>
    </row>
    <row r="249" spans="1:13" ht="24" customHeight="1">
      <c r="A249" s="1593"/>
      <c r="B249" s="1599"/>
      <c r="C249" s="1600"/>
      <c r="D249" s="1602">
        <v>2</v>
      </c>
      <c r="E249" s="1320" t="s">
        <v>1032</v>
      </c>
      <c r="F249" s="1502">
        <v>0</v>
      </c>
      <c r="G249" s="1502">
        <v>0</v>
      </c>
      <c r="H249" s="1502">
        <v>0</v>
      </c>
      <c r="I249" s="1502">
        <v>0</v>
      </c>
      <c r="J249" s="1502">
        <v>0</v>
      </c>
      <c r="K249" s="1502">
        <v>0</v>
      </c>
      <c r="L249" s="1502">
        <v>0</v>
      </c>
      <c r="M249" s="1502">
        <f>F249+G249+H249+I249+J249+K249+L249</f>
        <v>0</v>
      </c>
    </row>
    <row r="250" spans="1:13" ht="24" customHeight="1">
      <c r="A250" s="1593"/>
      <c r="B250" s="1599"/>
      <c r="C250" s="1600"/>
      <c r="D250" s="1602">
        <v>3</v>
      </c>
      <c r="E250" s="1320" t="s">
        <v>1033</v>
      </c>
      <c r="F250" s="1502">
        <v>0</v>
      </c>
      <c r="G250" s="1502">
        <v>0</v>
      </c>
      <c r="H250" s="1502">
        <v>0</v>
      </c>
      <c r="I250" s="1502">
        <v>0</v>
      </c>
      <c r="J250" s="1502">
        <v>0</v>
      </c>
      <c r="K250" s="1502">
        <v>0</v>
      </c>
      <c r="L250" s="1502">
        <v>0</v>
      </c>
      <c r="M250" s="1502">
        <f>F250+G250+H250+I250+J250+K250+L250</f>
        <v>0</v>
      </c>
    </row>
    <row r="251" spans="1:13" ht="24" customHeight="1">
      <c r="A251" s="1593"/>
      <c r="B251" s="1599"/>
      <c r="C251" s="1600"/>
      <c r="D251" s="1602">
        <v>4</v>
      </c>
      <c r="E251" s="1320" t="s">
        <v>1034</v>
      </c>
      <c r="F251" s="1502">
        <v>0</v>
      </c>
      <c r="G251" s="1502">
        <v>0</v>
      </c>
      <c r="H251" s="1502">
        <v>0</v>
      </c>
      <c r="I251" s="1502">
        <v>0</v>
      </c>
      <c r="J251" s="1502">
        <v>0</v>
      </c>
      <c r="K251" s="1502">
        <v>0</v>
      </c>
      <c r="L251" s="1502">
        <v>0</v>
      </c>
      <c r="M251" s="1502">
        <f>F251+G251+H251+I251+J251+K251+L251</f>
        <v>0</v>
      </c>
    </row>
    <row r="252" spans="1:13" ht="24" customHeight="1">
      <c r="A252" s="1593"/>
      <c r="B252" s="1599"/>
      <c r="C252" s="1605" t="s">
        <v>121</v>
      </c>
      <c r="D252" s="1601"/>
      <c r="E252" s="1315" t="s">
        <v>1035</v>
      </c>
      <c r="F252" s="1316">
        <f aca="true" t="shared" si="42" ref="F252:K252">F254</f>
        <v>0</v>
      </c>
      <c r="G252" s="1316">
        <f t="shared" si="42"/>
        <v>0</v>
      </c>
      <c r="H252" s="1316">
        <f t="shared" si="42"/>
        <v>0</v>
      </c>
      <c r="I252" s="1316">
        <f t="shared" si="42"/>
        <v>0</v>
      </c>
      <c r="J252" s="1316">
        <f t="shared" si="42"/>
        <v>0</v>
      </c>
      <c r="K252" s="1316">
        <f t="shared" si="42"/>
        <v>0</v>
      </c>
      <c r="L252" s="1316">
        <v>0</v>
      </c>
      <c r="M252" s="1316">
        <f>F252+G252+H252+I252+J252+K252+L252</f>
        <v>0</v>
      </c>
    </row>
    <row r="253" spans="1:13" ht="16.5" customHeight="1">
      <c r="A253" s="1593"/>
      <c r="B253" s="1599"/>
      <c r="C253" s="1600"/>
      <c r="D253" s="1602"/>
      <c r="E253" s="1603" t="s">
        <v>706</v>
      </c>
      <c r="F253" s="1502"/>
      <c r="G253" s="1502"/>
      <c r="H253" s="1502"/>
      <c r="I253" s="1502"/>
      <c r="J253" s="1502"/>
      <c r="K253" s="1502"/>
      <c r="L253" s="1502"/>
      <c r="M253" s="1502"/>
    </row>
    <row r="254" spans="1:13" ht="38.25" customHeight="1">
      <c r="A254" s="1593"/>
      <c r="B254" s="1599"/>
      <c r="C254" s="1600"/>
      <c r="D254" s="1602">
        <v>1</v>
      </c>
      <c r="E254" s="1320" t="s">
        <v>1036</v>
      </c>
      <c r="F254" s="1502">
        <v>0</v>
      </c>
      <c r="G254" s="1502">
        <v>0</v>
      </c>
      <c r="H254" s="1502">
        <v>0</v>
      </c>
      <c r="I254" s="1502">
        <v>0</v>
      </c>
      <c r="J254" s="1502">
        <v>0</v>
      </c>
      <c r="K254" s="1502">
        <v>0</v>
      </c>
      <c r="L254" s="1502">
        <v>0</v>
      </c>
      <c r="M254" s="1502">
        <f>SUM(F254:L254)</f>
        <v>0</v>
      </c>
    </row>
    <row r="255" spans="1:13" ht="36" customHeight="1">
      <c r="A255" s="1616">
        <v>13</v>
      </c>
      <c r="B255" s="1607">
        <v>801</v>
      </c>
      <c r="C255" s="1606"/>
      <c r="D255" s="1608"/>
      <c r="E255" s="1619" t="s">
        <v>643</v>
      </c>
      <c r="F255" s="1609">
        <f aca="true" t="shared" si="43" ref="F255:L255">F256+F266+F276+F286+F296+F306+F316+F326+F336+F346+F356+F366</f>
        <v>0</v>
      </c>
      <c r="G255" s="1609">
        <f t="shared" si="43"/>
        <v>0</v>
      </c>
      <c r="H255" s="1609">
        <f t="shared" si="43"/>
        <v>0</v>
      </c>
      <c r="I255" s="1609">
        <f t="shared" si="43"/>
        <v>24600</v>
      </c>
      <c r="J255" s="1609">
        <f t="shared" si="43"/>
        <v>0</v>
      </c>
      <c r="K255" s="1609">
        <f t="shared" si="43"/>
        <v>0</v>
      </c>
      <c r="L255" s="1609">
        <f t="shared" si="43"/>
        <v>21943107</v>
      </c>
      <c r="M255" s="1592">
        <f>SUM(F255:L255)</f>
        <v>21967707</v>
      </c>
    </row>
    <row r="256" spans="1:13" ht="36" customHeight="1">
      <c r="A256" s="1593"/>
      <c r="B256" s="1615">
        <v>80101</v>
      </c>
      <c r="C256" s="1595"/>
      <c r="D256" s="1596"/>
      <c r="E256" s="1597" t="s">
        <v>1015</v>
      </c>
      <c r="F256" s="1598">
        <f aca="true" t="shared" si="44" ref="F256:L256">F257+F263</f>
        <v>0</v>
      </c>
      <c r="G256" s="1598">
        <f t="shared" si="44"/>
        <v>0</v>
      </c>
      <c r="H256" s="1598">
        <f>H257+H263</f>
        <v>0</v>
      </c>
      <c r="I256" s="1598">
        <f>I257+I263</f>
        <v>0</v>
      </c>
      <c r="J256" s="1598">
        <f>J257+J263</f>
        <v>0</v>
      </c>
      <c r="K256" s="1598">
        <f t="shared" si="44"/>
        <v>0</v>
      </c>
      <c r="L256" s="1598">
        <f t="shared" si="44"/>
        <v>8367500</v>
      </c>
      <c r="M256" s="1598">
        <f>SUM(F256:L256)</f>
        <v>8367500</v>
      </c>
    </row>
    <row r="257" spans="1:13" ht="24" customHeight="1">
      <c r="A257" s="1593"/>
      <c r="B257" s="1599"/>
      <c r="C257" s="1600" t="s">
        <v>602</v>
      </c>
      <c r="D257" s="1601"/>
      <c r="E257" s="1315" t="s">
        <v>1030</v>
      </c>
      <c r="F257" s="1316">
        <v>0</v>
      </c>
      <c r="G257" s="1316">
        <v>0</v>
      </c>
      <c r="H257" s="1316">
        <v>0</v>
      </c>
      <c r="I257" s="1316">
        <v>0</v>
      </c>
      <c r="J257" s="1316">
        <v>0</v>
      </c>
      <c r="K257" s="1316">
        <v>0</v>
      </c>
      <c r="L257" s="1316">
        <f>3545000+3763000+528500+531000</f>
        <v>8367500</v>
      </c>
      <c r="M257" s="1502">
        <f>F257+G257+H257+I257+J257+K257+L257</f>
        <v>8367500</v>
      </c>
    </row>
    <row r="258" spans="1:13" ht="18" customHeight="1">
      <c r="A258" s="1593"/>
      <c r="B258" s="1599"/>
      <c r="C258" s="1600"/>
      <c r="D258" s="1602"/>
      <c r="E258" s="1603" t="s">
        <v>706</v>
      </c>
      <c r="F258" s="1502"/>
      <c r="G258" s="1502"/>
      <c r="H258" s="1502"/>
      <c r="I258" s="1502"/>
      <c r="J258" s="1502"/>
      <c r="K258" s="1502"/>
      <c r="L258" s="1502"/>
      <c r="M258" s="1502"/>
    </row>
    <row r="259" spans="1:13" ht="24" customHeight="1">
      <c r="A259" s="1593"/>
      <c r="B259" s="1599"/>
      <c r="C259" s="1600"/>
      <c r="D259" s="1602">
        <v>1</v>
      </c>
      <c r="E259" s="1604" t="s">
        <v>1031</v>
      </c>
      <c r="F259" s="1502">
        <v>0</v>
      </c>
      <c r="G259" s="1502">
        <v>0</v>
      </c>
      <c r="H259" s="1502">
        <v>0</v>
      </c>
      <c r="I259" s="1502">
        <v>0</v>
      </c>
      <c r="J259" s="1502">
        <v>0</v>
      </c>
      <c r="K259" s="1502">
        <v>0</v>
      </c>
      <c r="L259" s="1502">
        <f>2550000+3086000+389000+378000</f>
        <v>6403000</v>
      </c>
      <c r="M259" s="1502">
        <f>F259+G259+H259+I259+J259+K259+L259</f>
        <v>6403000</v>
      </c>
    </row>
    <row r="260" spans="1:13" ht="24" customHeight="1">
      <c r="A260" s="1593"/>
      <c r="B260" s="1599"/>
      <c r="C260" s="1600"/>
      <c r="D260" s="1602">
        <v>2</v>
      </c>
      <c r="E260" s="1320" t="s">
        <v>1032</v>
      </c>
      <c r="F260" s="1502">
        <v>0</v>
      </c>
      <c r="G260" s="1502">
        <v>0</v>
      </c>
      <c r="H260" s="1502">
        <v>0</v>
      </c>
      <c r="I260" s="1502">
        <v>0</v>
      </c>
      <c r="J260" s="1502">
        <v>0</v>
      </c>
      <c r="K260" s="1502">
        <v>0</v>
      </c>
      <c r="L260" s="1502">
        <v>0</v>
      </c>
      <c r="M260" s="1502">
        <f>F260+G260+H260+I260+J260+K260+L260</f>
        <v>0</v>
      </c>
    </row>
    <row r="261" spans="1:13" ht="24" customHeight="1">
      <c r="A261" s="1593"/>
      <c r="B261" s="1599"/>
      <c r="C261" s="1600"/>
      <c r="D261" s="1602">
        <v>3</v>
      </c>
      <c r="E261" s="1320" t="s">
        <v>1033</v>
      </c>
      <c r="F261" s="1502">
        <v>0</v>
      </c>
      <c r="G261" s="1502">
        <v>0</v>
      </c>
      <c r="H261" s="1502">
        <v>0</v>
      </c>
      <c r="I261" s="1502">
        <v>0</v>
      </c>
      <c r="J261" s="1502">
        <v>0</v>
      </c>
      <c r="K261" s="1502">
        <v>0</v>
      </c>
      <c r="L261" s="1502">
        <v>0</v>
      </c>
      <c r="M261" s="1502">
        <f>F261+G261+H261+I261+J261+K261+L261</f>
        <v>0</v>
      </c>
    </row>
    <row r="262" spans="1:13" ht="24" customHeight="1">
      <c r="A262" s="1593"/>
      <c r="B262" s="1599"/>
      <c r="C262" s="1600"/>
      <c r="D262" s="1602">
        <v>4</v>
      </c>
      <c r="E262" s="1320" t="s">
        <v>1034</v>
      </c>
      <c r="F262" s="1502">
        <v>0</v>
      </c>
      <c r="G262" s="1502">
        <v>0</v>
      </c>
      <c r="H262" s="1502">
        <v>0</v>
      </c>
      <c r="I262" s="1502">
        <v>0</v>
      </c>
      <c r="J262" s="1502">
        <v>0</v>
      </c>
      <c r="K262" s="1502">
        <v>0</v>
      </c>
      <c r="L262" s="1502">
        <v>0</v>
      </c>
      <c r="M262" s="1502">
        <f>F262+G262+H262+I262+J262+K262+L262</f>
        <v>0</v>
      </c>
    </row>
    <row r="263" spans="1:13" ht="24" customHeight="1">
      <c r="A263" s="1593"/>
      <c r="B263" s="1599"/>
      <c r="C263" s="1605" t="s">
        <v>121</v>
      </c>
      <c r="D263" s="1601"/>
      <c r="E263" s="1315" t="s">
        <v>1035</v>
      </c>
      <c r="F263" s="1316">
        <f aca="true" t="shared" si="45" ref="F263:L263">F265</f>
        <v>0</v>
      </c>
      <c r="G263" s="1316">
        <f t="shared" si="45"/>
        <v>0</v>
      </c>
      <c r="H263" s="1316">
        <f>H265</f>
        <v>0</v>
      </c>
      <c r="I263" s="1316">
        <f>I265</f>
        <v>0</v>
      </c>
      <c r="J263" s="1316">
        <f>J265</f>
        <v>0</v>
      </c>
      <c r="K263" s="1316">
        <f t="shared" si="45"/>
        <v>0</v>
      </c>
      <c r="L263" s="1316">
        <f t="shared" si="45"/>
        <v>0</v>
      </c>
      <c r="M263" s="1316">
        <f>F263+G263+H263+I263+J263+K263+L263</f>
        <v>0</v>
      </c>
    </row>
    <row r="264" spans="1:13" ht="19.5" customHeight="1">
      <c r="A264" s="1593"/>
      <c r="B264" s="1599"/>
      <c r="C264" s="1600"/>
      <c r="D264" s="1602"/>
      <c r="E264" s="1603" t="s">
        <v>706</v>
      </c>
      <c r="F264" s="1502"/>
      <c r="G264" s="1502"/>
      <c r="H264" s="1502"/>
      <c r="I264" s="1502"/>
      <c r="J264" s="1502"/>
      <c r="K264" s="1502"/>
      <c r="L264" s="1502"/>
      <c r="M264" s="1502"/>
    </row>
    <row r="265" spans="1:13" ht="38.25" customHeight="1">
      <c r="A265" s="1593"/>
      <c r="B265" s="1599"/>
      <c r="C265" s="1600"/>
      <c r="D265" s="1602">
        <v>1</v>
      </c>
      <c r="E265" s="1320" t="s">
        <v>1036</v>
      </c>
      <c r="F265" s="1502">
        <v>0</v>
      </c>
      <c r="G265" s="1502">
        <v>0</v>
      </c>
      <c r="H265" s="1502">
        <v>0</v>
      </c>
      <c r="I265" s="1502">
        <v>0</v>
      </c>
      <c r="J265" s="1502">
        <v>0</v>
      </c>
      <c r="K265" s="1502">
        <v>0</v>
      </c>
      <c r="L265" s="1502">
        <v>0</v>
      </c>
      <c r="M265" s="1502">
        <f>SUM(F265:L265)</f>
        <v>0</v>
      </c>
    </row>
    <row r="266" spans="1:13" ht="47.25" customHeight="1">
      <c r="A266" s="1593"/>
      <c r="B266" s="1615">
        <v>80103</v>
      </c>
      <c r="C266" s="1595"/>
      <c r="D266" s="1596"/>
      <c r="E266" s="1597" t="s">
        <v>847</v>
      </c>
      <c r="F266" s="1598">
        <f>F267+F273</f>
        <v>0</v>
      </c>
      <c r="G266" s="1598">
        <f aca="true" t="shared" si="46" ref="G266:L266">G267+G273</f>
        <v>0</v>
      </c>
      <c r="H266" s="1598">
        <f t="shared" si="46"/>
        <v>0</v>
      </c>
      <c r="I266" s="1598">
        <f t="shared" si="46"/>
        <v>0</v>
      </c>
      <c r="J266" s="1598">
        <f t="shared" si="46"/>
        <v>0</v>
      </c>
      <c r="K266" s="1598">
        <f t="shared" si="46"/>
        <v>0</v>
      </c>
      <c r="L266" s="1598">
        <f t="shared" si="46"/>
        <v>99000</v>
      </c>
      <c r="M266" s="1598">
        <f>SUM(F266:L266)</f>
        <v>99000</v>
      </c>
    </row>
    <row r="267" spans="1:13" ht="24" customHeight="1">
      <c r="A267" s="1593"/>
      <c r="B267" s="1599"/>
      <c r="C267" s="1600" t="s">
        <v>602</v>
      </c>
      <c r="D267" s="1601"/>
      <c r="E267" s="1315" t="s">
        <v>1030</v>
      </c>
      <c r="F267" s="1316">
        <v>0</v>
      </c>
      <c r="G267" s="1316">
        <v>0</v>
      </c>
      <c r="H267" s="1316">
        <v>0</v>
      </c>
      <c r="I267" s="1316">
        <v>0</v>
      </c>
      <c r="J267" s="1316">
        <v>0</v>
      </c>
      <c r="K267" s="1316">
        <v>0</v>
      </c>
      <c r="L267" s="1316">
        <f>99000</f>
        <v>99000</v>
      </c>
      <c r="M267" s="1502">
        <f>F267+G267+H267+I267+J267+K267+L267</f>
        <v>99000</v>
      </c>
    </row>
    <row r="268" spans="1:13" ht="18" customHeight="1">
      <c r="A268" s="1593"/>
      <c r="B268" s="1599"/>
      <c r="C268" s="1600"/>
      <c r="D268" s="1602"/>
      <c r="E268" s="1603" t="s">
        <v>706</v>
      </c>
      <c r="F268" s="1502"/>
      <c r="G268" s="1502"/>
      <c r="H268" s="1502"/>
      <c r="I268" s="1502"/>
      <c r="J268" s="1502"/>
      <c r="K268" s="1502"/>
      <c r="L268" s="1502"/>
      <c r="M268" s="1502"/>
    </row>
    <row r="269" spans="1:13" ht="24" customHeight="1">
      <c r="A269" s="1593"/>
      <c r="B269" s="1599"/>
      <c r="C269" s="1600"/>
      <c r="D269" s="1602">
        <v>1</v>
      </c>
      <c r="E269" s="1604" t="s">
        <v>1031</v>
      </c>
      <c r="F269" s="1502">
        <v>0</v>
      </c>
      <c r="G269" s="1502">
        <v>0</v>
      </c>
      <c r="H269" s="1502">
        <v>0</v>
      </c>
      <c r="I269" s="1502">
        <v>0</v>
      </c>
      <c r="J269" s="1502">
        <v>0</v>
      </c>
      <c r="K269" s="1502">
        <v>0</v>
      </c>
      <c r="L269" s="1502">
        <f>37000+35000</f>
        <v>72000</v>
      </c>
      <c r="M269" s="1502">
        <f>F269+G269+H269+I269+J269+K269+L269</f>
        <v>72000</v>
      </c>
    </row>
    <row r="270" spans="1:13" ht="24" customHeight="1">
      <c r="A270" s="1593"/>
      <c r="B270" s="1599"/>
      <c r="C270" s="1600"/>
      <c r="D270" s="1602">
        <v>2</v>
      </c>
      <c r="E270" s="1320" t="s">
        <v>1032</v>
      </c>
      <c r="F270" s="1502">
        <v>0</v>
      </c>
      <c r="G270" s="1502">
        <v>0</v>
      </c>
      <c r="H270" s="1502">
        <v>0</v>
      </c>
      <c r="I270" s="1502">
        <v>0</v>
      </c>
      <c r="J270" s="1502">
        <v>0</v>
      </c>
      <c r="K270" s="1502">
        <v>0</v>
      </c>
      <c r="L270" s="1502">
        <v>0</v>
      </c>
      <c r="M270" s="1502">
        <f>F270+G270+H270+I270+J270+K270+L270</f>
        <v>0</v>
      </c>
    </row>
    <row r="271" spans="1:13" ht="24" customHeight="1">
      <c r="A271" s="1593"/>
      <c r="B271" s="1599"/>
      <c r="C271" s="1600"/>
      <c r="D271" s="1602">
        <v>3</v>
      </c>
      <c r="E271" s="1320" t="s">
        <v>1033</v>
      </c>
      <c r="F271" s="1502">
        <v>0</v>
      </c>
      <c r="G271" s="1502">
        <v>0</v>
      </c>
      <c r="H271" s="1502">
        <v>0</v>
      </c>
      <c r="I271" s="1502">
        <v>0</v>
      </c>
      <c r="J271" s="1502">
        <v>0</v>
      </c>
      <c r="K271" s="1502">
        <v>0</v>
      </c>
      <c r="L271" s="1502">
        <v>0</v>
      </c>
      <c r="M271" s="1502">
        <f>F271+G271+H271+I271+J271+K271+L271</f>
        <v>0</v>
      </c>
    </row>
    <row r="272" spans="1:13" ht="24" customHeight="1">
      <c r="A272" s="1593"/>
      <c r="B272" s="1599"/>
      <c r="C272" s="1600"/>
      <c r="D272" s="1602">
        <v>4</v>
      </c>
      <c r="E272" s="1320" t="s">
        <v>1034</v>
      </c>
      <c r="F272" s="1502">
        <v>0</v>
      </c>
      <c r="G272" s="1502">
        <v>0</v>
      </c>
      <c r="H272" s="1502">
        <v>0</v>
      </c>
      <c r="I272" s="1502">
        <v>0</v>
      </c>
      <c r="J272" s="1502">
        <v>0</v>
      </c>
      <c r="K272" s="1502">
        <v>0</v>
      </c>
      <c r="L272" s="1502">
        <v>0</v>
      </c>
      <c r="M272" s="1502">
        <f>F272+G272+H272+I272+J272+K272+L272</f>
        <v>0</v>
      </c>
    </row>
    <row r="273" spans="1:13" ht="24" customHeight="1">
      <c r="A273" s="1593"/>
      <c r="B273" s="1599"/>
      <c r="C273" s="1605" t="s">
        <v>121</v>
      </c>
      <c r="D273" s="1601"/>
      <c r="E273" s="1315" t="s">
        <v>1035</v>
      </c>
      <c r="F273" s="1316">
        <f aca="true" t="shared" si="47" ref="F273:L273">F275</f>
        <v>0</v>
      </c>
      <c r="G273" s="1316">
        <f t="shared" si="47"/>
        <v>0</v>
      </c>
      <c r="H273" s="1316">
        <f t="shared" si="47"/>
        <v>0</v>
      </c>
      <c r="I273" s="1316">
        <f t="shared" si="47"/>
        <v>0</v>
      </c>
      <c r="J273" s="1316">
        <f t="shared" si="47"/>
        <v>0</v>
      </c>
      <c r="K273" s="1316">
        <f t="shared" si="47"/>
        <v>0</v>
      </c>
      <c r="L273" s="1316">
        <f t="shared" si="47"/>
        <v>0</v>
      </c>
      <c r="M273" s="1316">
        <f>F273+G273+H273+I273+J273+K273+L273</f>
        <v>0</v>
      </c>
    </row>
    <row r="274" spans="1:13" ht="19.5" customHeight="1">
      <c r="A274" s="1593"/>
      <c r="B274" s="1599"/>
      <c r="C274" s="1600"/>
      <c r="D274" s="1602"/>
      <c r="E274" s="1603" t="s">
        <v>706</v>
      </c>
      <c r="F274" s="1502"/>
      <c r="G274" s="1502"/>
      <c r="H274" s="1502"/>
      <c r="I274" s="1502"/>
      <c r="J274" s="1502"/>
      <c r="K274" s="1502"/>
      <c r="L274" s="1502"/>
      <c r="M274" s="1502"/>
    </row>
    <row r="275" spans="1:13" ht="38.25" customHeight="1">
      <c r="A275" s="1593"/>
      <c r="B275" s="1599"/>
      <c r="C275" s="1600"/>
      <c r="D275" s="1602">
        <v>1</v>
      </c>
      <c r="E275" s="1320" t="s">
        <v>1036</v>
      </c>
      <c r="F275" s="1502">
        <v>0</v>
      </c>
      <c r="G275" s="1502">
        <v>0</v>
      </c>
      <c r="H275" s="1502">
        <v>0</v>
      </c>
      <c r="I275" s="1502">
        <v>0</v>
      </c>
      <c r="J275" s="1502">
        <v>0</v>
      </c>
      <c r="K275" s="1502">
        <v>0</v>
      </c>
      <c r="L275" s="1502">
        <v>0</v>
      </c>
      <c r="M275" s="1502">
        <f>SUM(F275:L275)</f>
        <v>0</v>
      </c>
    </row>
    <row r="276" spans="1:13" ht="43.5" customHeight="1">
      <c r="A276" s="1593"/>
      <c r="B276" s="1615">
        <v>80104</v>
      </c>
      <c r="C276" s="1595"/>
      <c r="D276" s="1596"/>
      <c r="E276" s="1597" t="s">
        <v>746</v>
      </c>
      <c r="F276" s="1598">
        <f aca="true" t="shared" si="48" ref="F276:L276">F277+F283</f>
        <v>0</v>
      </c>
      <c r="G276" s="1598">
        <f>G277+G283</f>
        <v>0</v>
      </c>
      <c r="H276" s="1598">
        <f>H277+H283</f>
        <v>0</v>
      </c>
      <c r="I276" s="1598">
        <f>I277+I283</f>
        <v>0</v>
      </c>
      <c r="J276" s="1598">
        <f>J277+J283</f>
        <v>0</v>
      </c>
      <c r="K276" s="1598">
        <f t="shared" si="48"/>
        <v>0</v>
      </c>
      <c r="L276" s="1598">
        <f t="shared" si="48"/>
        <v>2628000</v>
      </c>
      <c r="M276" s="1598">
        <f>SUM(F276:L276)</f>
        <v>2628000</v>
      </c>
    </row>
    <row r="277" spans="1:13" ht="24" customHeight="1">
      <c r="A277" s="1593"/>
      <c r="B277" s="1599"/>
      <c r="C277" s="1600" t="s">
        <v>602</v>
      </c>
      <c r="D277" s="1601"/>
      <c r="E277" s="1315" t="s">
        <v>1030</v>
      </c>
      <c r="F277" s="1316">
        <v>0</v>
      </c>
      <c r="G277" s="1316">
        <v>0</v>
      </c>
      <c r="H277" s="1316">
        <v>0</v>
      </c>
      <c r="I277" s="1316">
        <v>0</v>
      </c>
      <c r="J277" s="1316">
        <v>0</v>
      </c>
      <c r="K277" s="1316">
        <v>0</v>
      </c>
      <c r="L277" s="1316">
        <f>L280</f>
        <v>2628000</v>
      </c>
      <c r="M277" s="1502">
        <f>F277+G277+H277+I277+J277+K277+L277</f>
        <v>2628000</v>
      </c>
    </row>
    <row r="278" spans="1:13" ht="18.75" customHeight="1">
      <c r="A278" s="1593"/>
      <c r="B278" s="1599"/>
      <c r="C278" s="1600"/>
      <c r="D278" s="1602"/>
      <c r="E278" s="1603" t="s">
        <v>706</v>
      </c>
      <c r="F278" s="1502"/>
      <c r="G278" s="1502"/>
      <c r="H278" s="1502"/>
      <c r="I278" s="1502"/>
      <c r="J278" s="1502"/>
      <c r="K278" s="1502"/>
      <c r="L278" s="1502"/>
      <c r="M278" s="1502"/>
    </row>
    <row r="279" spans="1:13" ht="24" customHeight="1">
      <c r="A279" s="1593"/>
      <c r="B279" s="1599"/>
      <c r="C279" s="1600"/>
      <c r="D279" s="1602">
        <v>1</v>
      </c>
      <c r="E279" s="1604" t="s">
        <v>1031</v>
      </c>
      <c r="F279" s="1502">
        <v>0</v>
      </c>
      <c r="G279" s="1502">
        <v>0</v>
      </c>
      <c r="H279" s="1502">
        <v>0</v>
      </c>
      <c r="I279" s="1502">
        <v>0</v>
      </c>
      <c r="J279" s="1502">
        <v>0</v>
      </c>
      <c r="K279" s="1502">
        <v>0</v>
      </c>
      <c r="L279" s="1502">
        <v>0</v>
      </c>
      <c r="M279" s="1502">
        <f>F279+G279+H279+I279+J279+K279+L279</f>
        <v>0</v>
      </c>
    </row>
    <row r="280" spans="1:13" ht="24" customHeight="1">
      <c r="A280" s="1593"/>
      <c r="B280" s="1599"/>
      <c r="C280" s="1600"/>
      <c r="D280" s="1602">
        <v>2</v>
      </c>
      <c r="E280" s="1320" t="s">
        <v>1032</v>
      </c>
      <c r="F280" s="1502">
        <v>0</v>
      </c>
      <c r="G280" s="1502">
        <v>0</v>
      </c>
      <c r="H280" s="1502">
        <v>0</v>
      </c>
      <c r="I280" s="1502">
        <v>0</v>
      </c>
      <c r="J280" s="1502">
        <v>0</v>
      </c>
      <c r="K280" s="1502">
        <v>0</v>
      </c>
      <c r="L280" s="1502">
        <f>2550000+28000+50000</f>
        <v>2628000</v>
      </c>
      <c r="M280" s="1502">
        <f>F280+G280+H280+I280+J280+K280+L280</f>
        <v>2628000</v>
      </c>
    </row>
    <row r="281" spans="1:13" ht="24" customHeight="1">
      <c r="A281" s="1593"/>
      <c r="B281" s="1599"/>
      <c r="C281" s="1600"/>
      <c r="D281" s="1602">
        <v>3</v>
      </c>
      <c r="E281" s="1320" t="s">
        <v>1033</v>
      </c>
      <c r="F281" s="1502">
        <v>0</v>
      </c>
      <c r="G281" s="1502">
        <v>0</v>
      </c>
      <c r="H281" s="1502">
        <v>0</v>
      </c>
      <c r="I281" s="1502">
        <v>0</v>
      </c>
      <c r="J281" s="1502">
        <v>0</v>
      </c>
      <c r="K281" s="1502">
        <v>0</v>
      </c>
      <c r="L281" s="1502">
        <v>0</v>
      </c>
      <c r="M281" s="1502">
        <f>F281+G281+H281+I281+J281+K281+L281</f>
        <v>0</v>
      </c>
    </row>
    <row r="282" spans="1:13" ht="24" customHeight="1">
      <c r="A282" s="1593"/>
      <c r="B282" s="1599"/>
      <c r="C282" s="1600"/>
      <c r="D282" s="1602">
        <v>4</v>
      </c>
      <c r="E282" s="1320" t="s">
        <v>1034</v>
      </c>
      <c r="F282" s="1502">
        <v>0</v>
      </c>
      <c r="G282" s="1502">
        <v>0</v>
      </c>
      <c r="H282" s="1502">
        <v>0</v>
      </c>
      <c r="I282" s="1502">
        <v>0</v>
      </c>
      <c r="J282" s="1502">
        <v>0</v>
      </c>
      <c r="K282" s="1502">
        <v>0</v>
      </c>
      <c r="L282" s="1502">
        <v>0</v>
      </c>
      <c r="M282" s="1502">
        <f>F282+G282+H282+I282+J282+K282+L282</f>
        <v>0</v>
      </c>
    </row>
    <row r="283" spans="1:13" ht="24" customHeight="1">
      <c r="A283" s="1593"/>
      <c r="B283" s="1599"/>
      <c r="C283" s="1605" t="s">
        <v>121</v>
      </c>
      <c r="D283" s="1601"/>
      <c r="E283" s="1315" t="s">
        <v>1035</v>
      </c>
      <c r="F283" s="1316">
        <f aca="true" t="shared" si="49" ref="F283:L283">F285</f>
        <v>0</v>
      </c>
      <c r="G283" s="1316">
        <f>G285</f>
        <v>0</v>
      </c>
      <c r="H283" s="1316">
        <f>H285</f>
        <v>0</v>
      </c>
      <c r="I283" s="1316">
        <f>I285</f>
        <v>0</v>
      </c>
      <c r="J283" s="1316">
        <f>J285</f>
        <v>0</v>
      </c>
      <c r="K283" s="1316">
        <f t="shared" si="49"/>
        <v>0</v>
      </c>
      <c r="L283" s="1316">
        <f t="shared" si="49"/>
        <v>0</v>
      </c>
      <c r="M283" s="1316">
        <f>F283+G283+H283+I283+J283+K283+L283</f>
        <v>0</v>
      </c>
    </row>
    <row r="284" spans="1:13" ht="21" customHeight="1">
      <c r="A284" s="1593"/>
      <c r="B284" s="1599"/>
      <c r="C284" s="1600"/>
      <c r="D284" s="1602"/>
      <c r="E284" s="1603" t="s">
        <v>706</v>
      </c>
      <c r="F284" s="1502"/>
      <c r="G284" s="1502"/>
      <c r="H284" s="1502"/>
      <c r="I284" s="1502"/>
      <c r="J284" s="1502"/>
      <c r="K284" s="1502"/>
      <c r="L284" s="1502"/>
      <c r="M284" s="1502"/>
    </row>
    <row r="285" spans="1:13" ht="42" customHeight="1">
      <c r="A285" s="1593"/>
      <c r="B285" s="1599"/>
      <c r="C285" s="1600"/>
      <c r="D285" s="1602">
        <v>1</v>
      </c>
      <c r="E285" s="1320" t="s">
        <v>1036</v>
      </c>
      <c r="F285" s="1502">
        <v>0</v>
      </c>
      <c r="G285" s="1502">
        <v>0</v>
      </c>
      <c r="H285" s="1502">
        <v>0</v>
      </c>
      <c r="I285" s="1502">
        <v>0</v>
      </c>
      <c r="J285" s="1502">
        <v>0</v>
      </c>
      <c r="K285" s="1502">
        <v>0</v>
      </c>
      <c r="L285" s="1502">
        <v>0</v>
      </c>
      <c r="M285" s="1502">
        <f>SUM(F285:L285)</f>
        <v>0</v>
      </c>
    </row>
    <row r="286" spans="1:13" ht="36" customHeight="1">
      <c r="A286" s="1593"/>
      <c r="B286" s="1615">
        <v>80110</v>
      </c>
      <c r="C286" s="1595"/>
      <c r="D286" s="1596"/>
      <c r="E286" s="1597" t="s">
        <v>43</v>
      </c>
      <c r="F286" s="1598">
        <f aca="true" t="shared" si="50" ref="F286:L286">F287+F293</f>
        <v>0</v>
      </c>
      <c r="G286" s="1598">
        <f t="shared" si="50"/>
        <v>0</v>
      </c>
      <c r="H286" s="1598">
        <f t="shared" si="50"/>
        <v>0</v>
      </c>
      <c r="I286" s="1598">
        <f t="shared" si="50"/>
        <v>24600</v>
      </c>
      <c r="J286" s="1598">
        <f t="shared" si="50"/>
        <v>0</v>
      </c>
      <c r="K286" s="1598">
        <f t="shared" si="50"/>
        <v>0</v>
      </c>
      <c r="L286" s="1598">
        <f t="shared" si="50"/>
        <v>6262000</v>
      </c>
      <c r="M286" s="1598">
        <f>SUM(F286:L286)</f>
        <v>6286600</v>
      </c>
    </row>
    <row r="287" spans="1:13" ht="24" customHeight="1">
      <c r="A287" s="1593"/>
      <c r="B287" s="1599"/>
      <c r="C287" s="1600" t="s">
        <v>602</v>
      </c>
      <c r="D287" s="1601"/>
      <c r="E287" s="1315" t="s">
        <v>1030</v>
      </c>
      <c r="F287" s="1316">
        <v>0</v>
      </c>
      <c r="G287" s="1316">
        <v>0</v>
      </c>
      <c r="H287" s="1316">
        <v>0</v>
      </c>
      <c r="I287" s="1316">
        <v>24600</v>
      </c>
      <c r="J287" s="1316">
        <v>0</v>
      </c>
      <c r="K287" s="1316">
        <v>0</v>
      </c>
      <c r="L287" s="1316">
        <f>2531000+3811000-80000</f>
        <v>6262000</v>
      </c>
      <c r="M287" s="1502">
        <f>F287+G287+H287+I287+J287+K287+L287</f>
        <v>6286600</v>
      </c>
    </row>
    <row r="288" spans="1:13" ht="18" customHeight="1">
      <c r="A288" s="1593"/>
      <c r="B288" s="1599"/>
      <c r="C288" s="1600"/>
      <c r="D288" s="1602"/>
      <c r="E288" s="1603" t="s">
        <v>706</v>
      </c>
      <c r="F288" s="1502"/>
      <c r="G288" s="1502"/>
      <c r="H288" s="1502"/>
      <c r="I288" s="1502"/>
      <c r="J288" s="1502"/>
      <c r="K288" s="1502"/>
      <c r="L288" s="1502"/>
      <c r="M288" s="1502"/>
    </row>
    <row r="289" spans="1:13" ht="24" customHeight="1">
      <c r="A289" s="1593"/>
      <c r="B289" s="1599"/>
      <c r="C289" s="1600"/>
      <c r="D289" s="1602">
        <v>1</v>
      </c>
      <c r="E289" s="1604" t="s">
        <v>1031</v>
      </c>
      <c r="F289" s="1502">
        <v>0</v>
      </c>
      <c r="G289" s="1502">
        <v>0</v>
      </c>
      <c r="H289" s="1502">
        <v>0</v>
      </c>
      <c r="I289" s="1502">
        <f>2650</f>
        <v>2650</v>
      </c>
      <c r="J289" s="1502">
        <v>0</v>
      </c>
      <c r="K289" s="1502">
        <v>0</v>
      </c>
      <c r="L289" s="1502">
        <f>2080000+3126000</f>
        <v>5206000</v>
      </c>
      <c r="M289" s="1502">
        <f>F289+G289+H289+I289+J289+K289+L289</f>
        <v>5208650</v>
      </c>
    </row>
    <row r="290" spans="1:13" ht="24" customHeight="1">
      <c r="A290" s="1593"/>
      <c r="B290" s="1599"/>
      <c r="C290" s="1600"/>
      <c r="D290" s="1602">
        <v>2</v>
      </c>
      <c r="E290" s="1320" t="s">
        <v>1032</v>
      </c>
      <c r="F290" s="1502">
        <v>0</v>
      </c>
      <c r="G290" s="1502">
        <v>0</v>
      </c>
      <c r="H290" s="1502">
        <v>0</v>
      </c>
      <c r="I290" s="1502">
        <v>0</v>
      </c>
      <c r="J290" s="1502">
        <v>0</v>
      </c>
      <c r="K290" s="1502">
        <v>0</v>
      </c>
      <c r="L290" s="1502">
        <v>0</v>
      </c>
      <c r="M290" s="1502">
        <f>F290+G290+H290+I290+J290+K290+L290</f>
        <v>0</v>
      </c>
    </row>
    <row r="291" spans="1:13" ht="24" customHeight="1">
      <c r="A291" s="1593"/>
      <c r="B291" s="1599"/>
      <c r="C291" s="1600"/>
      <c r="D291" s="1602">
        <v>3</v>
      </c>
      <c r="E291" s="1320" t="s">
        <v>1033</v>
      </c>
      <c r="F291" s="1502">
        <v>0</v>
      </c>
      <c r="G291" s="1502">
        <v>0</v>
      </c>
      <c r="H291" s="1502">
        <v>0</v>
      </c>
      <c r="I291" s="1502">
        <v>0</v>
      </c>
      <c r="J291" s="1502">
        <v>0</v>
      </c>
      <c r="K291" s="1502">
        <v>0</v>
      </c>
      <c r="L291" s="1502">
        <v>0</v>
      </c>
      <c r="M291" s="1502">
        <f>F291+G291+H291+I291+J291+K291+L291</f>
        <v>0</v>
      </c>
    </row>
    <row r="292" spans="1:13" ht="24" customHeight="1">
      <c r="A292" s="1593"/>
      <c r="B292" s="1599"/>
      <c r="C292" s="1600"/>
      <c r="D292" s="1602">
        <v>4</v>
      </c>
      <c r="E292" s="1320" t="s">
        <v>1034</v>
      </c>
      <c r="F292" s="1502">
        <v>0</v>
      </c>
      <c r="G292" s="1502">
        <v>0</v>
      </c>
      <c r="H292" s="1502">
        <v>0</v>
      </c>
      <c r="I292" s="1502">
        <v>0</v>
      </c>
      <c r="J292" s="1502">
        <v>0</v>
      </c>
      <c r="K292" s="1502">
        <v>0</v>
      </c>
      <c r="L292" s="1502">
        <v>0</v>
      </c>
      <c r="M292" s="1502">
        <f>F292+G292+H292+I292+J292+K292+L292</f>
        <v>0</v>
      </c>
    </row>
    <row r="293" spans="1:13" ht="24" customHeight="1">
      <c r="A293" s="1593"/>
      <c r="B293" s="1599"/>
      <c r="C293" s="1605" t="s">
        <v>121</v>
      </c>
      <c r="D293" s="1601"/>
      <c r="E293" s="1315" t="s">
        <v>1035</v>
      </c>
      <c r="F293" s="1316">
        <f aca="true" t="shared" si="51" ref="F293:L293">F295</f>
        <v>0</v>
      </c>
      <c r="G293" s="1316">
        <f t="shared" si="51"/>
        <v>0</v>
      </c>
      <c r="H293" s="1316">
        <f t="shared" si="51"/>
        <v>0</v>
      </c>
      <c r="I293" s="1316">
        <f t="shared" si="51"/>
        <v>0</v>
      </c>
      <c r="J293" s="1316">
        <f t="shared" si="51"/>
        <v>0</v>
      </c>
      <c r="K293" s="1316">
        <f t="shared" si="51"/>
        <v>0</v>
      </c>
      <c r="L293" s="1316">
        <f t="shared" si="51"/>
        <v>0</v>
      </c>
      <c r="M293" s="1316">
        <f>F293+G293+H293+I293+J293+K293+L293</f>
        <v>0</v>
      </c>
    </row>
    <row r="294" spans="1:13" ht="21" customHeight="1">
      <c r="A294" s="1593"/>
      <c r="B294" s="1599"/>
      <c r="C294" s="1600"/>
      <c r="D294" s="1602"/>
      <c r="E294" s="1603" t="s">
        <v>706</v>
      </c>
      <c r="F294" s="1502"/>
      <c r="G294" s="1502"/>
      <c r="H294" s="1502"/>
      <c r="I294" s="1502"/>
      <c r="J294" s="1502"/>
      <c r="K294" s="1502"/>
      <c r="L294" s="1502"/>
      <c r="M294" s="1502"/>
    </row>
    <row r="295" spans="1:13" ht="48" customHeight="1">
      <c r="A295" s="1593"/>
      <c r="B295" s="1599"/>
      <c r="C295" s="1600"/>
      <c r="D295" s="1602">
        <v>1</v>
      </c>
      <c r="E295" s="1320" t="s">
        <v>1036</v>
      </c>
      <c r="F295" s="1502">
        <v>0</v>
      </c>
      <c r="G295" s="1502">
        <v>0</v>
      </c>
      <c r="H295" s="1502">
        <v>0</v>
      </c>
      <c r="I295" s="1502">
        <v>0</v>
      </c>
      <c r="J295" s="1502">
        <v>0</v>
      </c>
      <c r="K295" s="1502">
        <v>0</v>
      </c>
      <c r="L295" s="1502">
        <v>0</v>
      </c>
      <c r="M295" s="1502">
        <f>SUM(F295:L295)</f>
        <v>0</v>
      </c>
    </row>
    <row r="296" spans="1:13" ht="36" customHeight="1">
      <c r="A296" s="1593"/>
      <c r="B296" s="1615">
        <v>80113</v>
      </c>
      <c r="C296" s="1595"/>
      <c r="D296" s="1596"/>
      <c r="E296" s="1597" t="s">
        <v>779</v>
      </c>
      <c r="F296" s="1598">
        <f aca="true" t="shared" si="52" ref="F296:L296">F297+F303</f>
        <v>0</v>
      </c>
      <c r="G296" s="1598">
        <f t="shared" si="52"/>
        <v>0</v>
      </c>
      <c r="H296" s="1598">
        <f>H297+H303</f>
        <v>0</v>
      </c>
      <c r="I296" s="1598">
        <f t="shared" si="52"/>
        <v>0</v>
      </c>
      <c r="J296" s="1598">
        <f>J297+J303</f>
        <v>0</v>
      </c>
      <c r="K296" s="1598">
        <f t="shared" si="52"/>
        <v>0</v>
      </c>
      <c r="L296" s="1598">
        <f t="shared" si="52"/>
        <v>377000</v>
      </c>
      <c r="M296" s="1598">
        <f>SUM(F296:L296)</f>
        <v>377000</v>
      </c>
    </row>
    <row r="297" spans="1:13" ht="24" customHeight="1">
      <c r="A297" s="1593"/>
      <c r="B297" s="1599"/>
      <c r="C297" s="1600" t="s">
        <v>602</v>
      </c>
      <c r="D297" s="1601"/>
      <c r="E297" s="1315" t="s">
        <v>1030</v>
      </c>
      <c r="F297" s="1316">
        <v>0</v>
      </c>
      <c r="G297" s="1316">
        <v>0</v>
      </c>
      <c r="H297" s="1316">
        <v>0</v>
      </c>
      <c r="I297" s="1316">
        <v>0</v>
      </c>
      <c r="J297" s="1316">
        <v>0</v>
      </c>
      <c r="K297" s="1316">
        <v>0</v>
      </c>
      <c r="L297" s="1316">
        <v>377000</v>
      </c>
      <c r="M297" s="1502">
        <f>F297+G297+H297+I297+J297+K297+L297</f>
        <v>377000</v>
      </c>
    </row>
    <row r="298" spans="1:13" ht="18" customHeight="1">
      <c r="A298" s="1593"/>
      <c r="B298" s="1599"/>
      <c r="C298" s="1600"/>
      <c r="D298" s="1602"/>
      <c r="E298" s="1603" t="s">
        <v>706</v>
      </c>
      <c r="F298" s="1502"/>
      <c r="G298" s="1502"/>
      <c r="H298" s="1502"/>
      <c r="I298" s="1502"/>
      <c r="J298" s="1502"/>
      <c r="K298" s="1502"/>
      <c r="L298" s="1502"/>
      <c r="M298" s="1502"/>
    </row>
    <row r="299" spans="1:13" ht="24" customHeight="1">
      <c r="A299" s="1593"/>
      <c r="B299" s="1599"/>
      <c r="C299" s="1600"/>
      <c r="D299" s="1602">
        <v>1</v>
      </c>
      <c r="E299" s="1604" t="s">
        <v>1031</v>
      </c>
      <c r="F299" s="1502">
        <v>0</v>
      </c>
      <c r="G299" s="1502">
        <v>0</v>
      </c>
      <c r="H299" s="1502">
        <v>0</v>
      </c>
      <c r="I299" s="1502">
        <v>0</v>
      </c>
      <c r="J299" s="1502">
        <v>0</v>
      </c>
      <c r="K299" s="1502">
        <v>0</v>
      </c>
      <c r="L299" s="1502">
        <v>25000</v>
      </c>
      <c r="M299" s="1502">
        <f>F299+G299+H299+I299+J299+K299+L299</f>
        <v>25000</v>
      </c>
    </row>
    <row r="300" spans="1:13" ht="24" customHeight="1">
      <c r="A300" s="1593"/>
      <c r="B300" s="1599"/>
      <c r="C300" s="1600"/>
      <c r="D300" s="1602">
        <v>2</v>
      </c>
      <c r="E300" s="1320" t="s">
        <v>1032</v>
      </c>
      <c r="F300" s="1502">
        <v>0</v>
      </c>
      <c r="G300" s="1502">
        <v>0</v>
      </c>
      <c r="H300" s="1502">
        <v>0</v>
      </c>
      <c r="I300" s="1502">
        <v>0</v>
      </c>
      <c r="J300" s="1502">
        <v>0</v>
      </c>
      <c r="K300" s="1502">
        <v>0</v>
      </c>
      <c r="L300" s="1502">
        <v>0</v>
      </c>
      <c r="M300" s="1502">
        <f>F300+G300+H300+I300+J300+K300+L300</f>
        <v>0</v>
      </c>
    </row>
    <row r="301" spans="1:13" ht="24" customHeight="1">
      <c r="A301" s="1593"/>
      <c r="B301" s="1599"/>
      <c r="C301" s="1600"/>
      <c r="D301" s="1602">
        <v>3</v>
      </c>
      <c r="E301" s="1320" t="s">
        <v>1033</v>
      </c>
      <c r="F301" s="1502">
        <v>0</v>
      </c>
      <c r="G301" s="1502">
        <v>0</v>
      </c>
      <c r="H301" s="1502">
        <v>0</v>
      </c>
      <c r="I301" s="1502">
        <v>0</v>
      </c>
      <c r="J301" s="1502">
        <v>0</v>
      </c>
      <c r="K301" s="1502">
        <v>0</v>
      </c>
      <c r="L301" s="1502">
        <v>0</v>
      </c>
      <c r="M301" s="1502">
        <f>F301+G301+H301+I301+J301+K301+L301</f>
        <v>0</v>
      </c>
    </row>
    <row r="302" spans="1:13" ht="24" customHeight="1">
      <c r="A302" s="1593"/>
      <c r="B302" s="1599"/>
      <c r="C302" s="1600"/>
      <c r="D302" s="1602">
        <v>4</v>
      </c>
      <c r="E302" s="1320" t="s">
        <v>1034</v>
      </c>
      <c r="F302" s="1502">
        <v>0</v>
      </c>
      <c r="G302" s="1502">
        <v>0</v>
      </c>
      <c r="H302" s="1502">
        <v>0</v>
      </c>
      <c r="I302" s="1502">
        <v>0</v>
      </c>
      <c r="J302" s="1502">
        <v>0</v>
      </c>
      <c r="K302" s="1502">
        <v>0</v>
      </c>
      <c r="L302" s="1502">
        <v>0</v>
      </c>
      <c r="M302" s="1502">
        <f>F302+G302+H302+I302+J302+K302+L302</f>
        <v>0</v>
      </c>
    </row>
    <row r="303" spans="1:13" ht="24" customHeight="1">
      <c r="A303" s="1593"/>
      <c r="B303" s="1599"/>
      <c r="C303" s="1605" t="s">
        <v>121</v>
      </c>
      <c r="D303" s="1601"/>
      <c r="E303" s="1315" t="s">
        <v>1035</v>
      </c>
      <c r="F303" s="1316">
        <f aca="true" t="shared" si="53" ref="F303:L303">F305</f>
        <v>0</v>
      </c>
      <c r="G303" s="1316">
        <f t="shared" si="53"/>
        <v>0</v>
      </c>
      <c r="H303" s="1316">
        <f>H305</f>
        <v>0</v>
      </c>
      <c r="I303" s="1316">
        <f t="shared" si="53"/>
        <v>0</v>
      </c>
      <c r="J303" s="1316">
        <f>J305</f>
        <v>0</v>
      </c>
      <c r="K303" s="1316">
        <f t="shared" si="53"/>
        <v>0</v>
      </c>
      <c r="L303" s="1316">
        <f t="shared" si="53"/>
        <v>0</v>
      </c>
      <c r="M303" s="1316">
        <f>F303+G303+H303+I303+J303+K303+L303</f>
        <v>0</v>
      </c>
    </row>
    <row r="304" spans="1:13" ht="21" customHeight="1">
      <c r="A304" s="1593"/>
      <c r="B304" s="1599"/>
      <c r="C304" s="1600"/>
      <c r="D304" s="1602"/>
      <c r="E304" s="1603" t="s">
        <v>706</v>
      </c>
      <c r="F304" s="1502"/>
      <c r="G304" s="1502"/>
      <c r="H304" s="1502"/>
      <c r="I304" s="1502"/>
      <c r="J304" s="1502"/>
      <c r="K304" s="1502"/>
      <c r="L304" s="1502"/>
      <c r="M304" s="1502"/>
    </row>
    <row r="305" spans="1:13" ht="41.25" customHeight="1">
      <c r="A305" s="1593"/>
      <c r="B305" s="1599"/>
      <c r="C305" s="1600"/>
      <c r="D305" s="1602">
        <v>1</v>
      </c>
      <c r="E305" s="1320" t="s">
        <v>1036</v>
      </c>
      <c r="F305" s="1502">
        <v>0</v>
      </c>
      <c r="G305" s="1502">
        <v>0</v>
      </c>
      <c r="H305" s="1502">
        <v>0</v>
      </c>
      <c r="I305" s="1502">
        <v>0</v>
      </c>
      <c r="J305" s="1502">
        <v>0</v>
      </c>
      <c r="K305" s="1502">
        <v>0</v>
      </c>
      <c r="L305" s="1502">
        <v>0</v>
      </c>
      <c r="M305" s="1502">
        <f>SUM(F305:L305)</f>
        <v>0</v>
      </c>
    </row>
    <row r="306" spans="1:13" ht="50.25" customHeight="1">
      <c r="A306" s="1593"/>
      <c r="B306" s="1615">
        <v>80114</v>
      </c>
      <c r="C306" s="1595"/>
      <c r="D306" s="1596"/>
      <c r="E306" s="1597" t="s">
        <v>728</v>
      </c>
      <c r="F306" s="1598">
        <f aca="true" t="shared" si="54" ref="F306:K306">F307+F313</f>
        <v>0</v>
      </c>
      <c r="G306" s="1598">
        <f t="shared" si="54"/>
        <v>0</v>
      </c>
      <c r="H306" s="1598">
        <f t="shared" si="54"/>
        <v>0</v>
      </c>
      <c r="I306" s="1598">
        <f t="shared" si="54"/>
        <v>0</v>
      </c>
      <c r="J306" s="1598">
        <f t="shared" si="54"/>
        <v>0</v>
      </c>
      <c r="K306" s="1598">
        <f t="shared" si="54"/>
        <v>0</v>
      </c>
      <c r="L306" s="1598">
        <f>L307+L313</f>
        <v>554000</v>
      </c>
      <c r="M306" s="1598">
        <f>SUM(F306:L306)</f>
        <v>554000</v>
      </c>
    </row>
    <row r="307" spans="1:13" ht="24" customHeight="1">
      <c r="A307" s="1593"/>
      <c r="B307" s="1599"/>
      <c r="C307" s="1600" t="s">
        <v>602</v>
      </c>
      <c r="D307" s="1601"/>
      <c r="E307" s="1315" t="s">
        <v>1030</v>
      </c>
      <c r="F307" s="1316">
        <v>0</v>
      </c>
      <c r="G307" s="1316">
        <v>0</v>
      </c>
      <c r="H307" s="1316">
        <v>0</v>
      </c>
      <c r="I307" s="1316">
        <v>0</v>
      </c>
      <c r="J307" s="1316">
        <v>0</v>
      </c>
      <c r="K307" s="1316">
        <v>0</v>
      </c>
      <c r="L307" s="1316">
        <f>524000+30000</f>
        <v>554000</v>
      </c>
      <c r="M307" s="1502">
        <f>F307+G307+H307+I307+J307+K307+L307</f>
        <v>554000</v>
      </c>
    </row>
    <row r="308" spans="1:13" ht="18" customHeight="1">
      <c r="A308" s="1593"/>
      <c r="B308" s="1599"/>
      <c r="C308" s="1600"/>
      <c r="D308" s="1602"/>
      <c r="E308" s="1603" t="s">
        <v>706</v>
      </c>
      <c r="F308" s="1502"/>
      <c r="G308" s="1502"/>
      <c r="H308" s="1502"/>
      <c r="I308" s="1502"/>
      <c r="J308" s="1502"/>
      <c r="K308" s="1502"/>
      <c r="L308" s="1502"/>
      <c r="M308" s="1502"/>
    </row>
    <row r="309" spans="1:13" ht="24" customHeight="1">
      <c r="A309" s="1593"/>
      <c r="B309" s="1599"/>
      <c r="C309" s="1600"/>
      <c r="D309" s="1602">
        <v>1</v>
      </c>
      <c r="E309" s="1604" t="s">
        <v>1031</v>
      </c>
      <c r="F309" s="1502">
        <v>0</v>
      </c>
      <c r="G309" s="1502">
        <v>0</v>
      </c>
      <c r="H309" s="1502">
        <v>0</v>
      </c>
      <c r="I309" s="1502">
        <v>0</v>
      </c>
      <c r="J309" s="1502">
        <v>0</v>
      </c>
      <c r="K309" s="1502">
        <v>0</v>
      </c>
      <c r="L309" s="1502">
        <f>440000+30000</f>
        <v>470000</v>
      </c>
      <c r="M309" s="1502">
        <f>F309+G309+H309+I309+J309+K309+L309</f>
        <v>470000</v>
      </c>
    </row>
    <row r="310" spans="1:13" ht="24" customHeight="1">
      <c r="A310" s="1593"/>
      <c r="B310" s="1599"/>
      <c r="C310" s="1600"/>
      <c r="D310" s="1602">
        <v>2</v>
      </c>
      <c r="E310" s="1320" t="s">
        <v>1032</v>
      </c>
      <c r="F310" s="1502">
        <v>0</v>
      </c>
      <c r="G310" s="1502">
        <v>0</v>
      </c>
      <c r="H310" s="1502">
        <v>0</v>
      </c>
      <c r="I310" s="1502">
        <v>0</v>
      </c>
      <c r="J310" s="1502">
        <v>0</v>
      </c>
      <c r="K310" s="1502">
        <v>0</v>
      </c>
      <c r="L310" s="1502">
        <v>0</v>
      </c>
      <c r="M310" s="1502">
        <f>F310+G310+H310+I310+J310+K310+L310</f>
        <v>0</v>
      </c>
    </row>
    <row r="311" spans="1:13" ht="24" customHeight="1">
      <c r="A311" s="1593"/>
      <c r="B311" s="1599"/>
      <c r="C311" s="1600"/>
      <c r="D311" s="1602">
        <v>3</v>
      </c>
      <c r="E311" s="1320" t="s">
        <v>1033</v>
      </c>
      <c r="F311" s="1502">
        <v>0</v>
      </c>
      <c r="G311" s="1502">
        <v>0</v>
      </c>
      <c r="H311" s="1502">
        <v>0</v>
      </c>
      <c r="I311" s="1502">
        <v>0</v>
      </c>
      <c r="J311" s="1502">
        <v>0</v>
      </c>
      <c r="K311" s="1502">
        <v>0</v>
      </c>
      <c r="L311" s="1502">
        <v>0</v>
      </c>
      <c r="M311" s="1502">
        <f>F311+G311+H311+I311+J311+K311+L311</f>
        <v>0</v>
      </c>
    </row>
    <row r="312" spans="1:13" ht="24" customHeight="1">
      <c r="A312" s="1593"/>
      <c r="B312" s="1599"/>
      <c r="C312" s="1600"/>
      <c r="D312" s="1602">
        <v>4</v>
      </c>
      <c r="E312" s="1320" t="s">
        <v>1034</v>
      </c>
      <c r="F312" s="1502">
        <v>0</v>
      </c>
      <c r="G312" s="1502">
        <v>0</v>
      </c>
      <c r="H312" s="1502">
        <v>0</v>
      </c>
      <c r="I312" s="1502">
        <v>0</v>
      </c>
      <c r="J312" s="1502">
        <v>0</v>
      </c>
      <c r="K312" s="1502">
        <v>0</v>
      </c>
      <c r="L312" s="1502">
        <v>0</v>
      </c>
      <c r="M312" s="1502">
        <f>F312+G312+H312+I312+J312+K312+L312</f>
        <v>0</v>
      </c>
    </row>
    <row r="313" spans="1:13" ht="24" customHeight="1">
      <c r="A313" s="1593"/>
      <c r="B313" s="1599"/>
      <c r="C313" s="1605" t="s">
        <v>121</v>
      </c>
      <c r="D313" s="1601"/>
      <c r="E313" s="1315" t="s">
        <v>1035</v>
      </c>
      <c r="F313" s="1316">
        <f aca="true" t="shared" si="55" ref="F313:L313">F315</f>
        <v>0</v>
      </c>
      <c r="G313" s="1316">
        <f t="shared" si="55"/>
        <v>0</v>
      </c>
      <c r="H313" s="1316">
        <f t="shared" si="55"/>
        <v>0</v>
      </c>
      <c r="I313" s="1316">
        <f t="shared" si="55"/>
        <v>0</v>
      </c>
      <c r="J313" s="1316">
        <f t="shared" si="55"/>
        <v>0</v>
      </c>
      <c r="K313" s="1316">
        <f t="shared" si="55"/>
        <v>0</v>
      </c>
      <c r="L313" s="1316">
        <f t="shared" si="55"/>
        <v>0</v>
      </c>
      <c r="M313" s="1316">
        <f>F313+G313+H313+I313+J313+K313+L313</f>
        <v>0</v>
      </c>
    </row>
    <row r="314" spans="1:13" ht="21" customHeight="1">
      <c r="A314" s="1593"/>
      <c r="B314" s="1599"/>
      <c r="C314" s="1600"/>
      <c r="D314" s="1602"/>
      <c r="E314" s="1603" t="s">
        <v>706</v>
      </c>
      <c r="F314" s="1502"/>
      <c r="G314" s="1502"/>
      <c r="H314" s="1502"/>
      <c r="I314" s="1502"/>
      <c r="J314" s="1502"/>
      <c r="K314" s="1502"/>
      <c r="L314" s="1502"/>
      <c r="M314" s="1502"/>
    </row>
    <row r="315" spans="1:13" ht="41.25" customHeight="1">
      <c r="A315" s="1593"/>
      <c r="B315" s="1599"/>
      <c r="C315" s="1600"/>
      <c r="D315" s="1602">
        <v>1</v>
      </c>
      <c r="E315" s="1320" t="s">
        <v>1036</v>
      </c>
      <c r="F315" s="1502">
        <v>0</v>
      </c>
      <c r="G315" s="1502">
        <v>0</v>
      </c>
      <c r="H315" s="1502">
        <v>0</v>
      </c>
      <c r="I315" s="1502">
        <v>0</v>
      </c>
      <c r="J315" s="1502">
        <v>0</v>
      </c>
      <c r="K315" s="1502">
        <v>0</v>
      </c>
      <c r="L315" s="1502">
        <v>0</v>
      </c>
      <c r="M315" s="1502">
        <f>SUM(F315:L315)</f>
        <v>0</v>
      </c>
    </row>
    <row r="316" spans="1:13" ht="36" customHeight="1">
      <c r="A316" s="1593"/>
      <c r="B316" s="1615">
        <v>80120</v>
      </c>
      <c r="C316" s="1595"/>
      <c r="D316" s="1596"/>
      <c r="E316" s="1597" t="s">
        <v>783</v>
      </c>
      <c r="F316" s="1598">
        <f aca="true" t="shared" si="56" ref="F316:L316">F317+F323</f>
        <v>0</v>
      </c>
      <c r="G316" s="1598">
        <f t="shared" si="56"/>
        <v>0</v>
      </c>
      <c r="H316" s="1598">
        <f>H317+H323</f>
        <v>0</v>
      </c>
      <c r="I316" s="1598">
        <f>I317+I323</f>
        <v>0</v>
      </c>
      <c r="J316" s="1598">
        <f>J317+J323</f>
        <v>0</v>
      </c>
      <c r="K316" s="1598">
        <f>K317+K323</f>
        <v>0</v>
      </c>
      <c r="L316" s="1598">
        <f t="shared" si="56"/>
        <v>2760000</v>
      </c>
      <c r="M316" s="1598">
        <f>SUM(F316:L316)</f>
        <v>2760000</v>
      </c>
    </row>
    <row r="317" spans="1:13" ht="24" customHeight="1">
      <c r="A317" s="1593"/>
      <c r="B317" s="1599"/>
      <c r="C317" s="1600" t="s">
        <v>602</v>
      </c>
      <c r="D317" s="1601"/>
      <c r="E317" s="1315" t="s">
        <v>1030</v>
      </c>
      <c r="F317" s="1316">
        <v>0</v>
      </c>
      <c r="G317" s="1316">
        <v>0</v>
      </c>
      <c r="H317" s="1316">
        <v>0</v>
      </c>
      <c r="I317" s="1316">
        <v>0</v>
      </c>
      <c r="J317" s="1316">
        <v>0</v>
      </c>
      <c r="K317" s="1316">
        <v>0</v>
      </c>
      <c r="L317" s="1316">
        <f>840000+1920000</f>
        <v>2760000</v>
      </c>
      <c r="M317" s="1502">
        <f>F317+G317+H317+I317+J317+K317+L317</f>
        <v>2760000</v>
      </c>
    </row>
    <row r="318" spans="1:13" ht="18" customHeight="1">
      <c r="A318" s="1593"/>
      <c r="B318" s="1599"/>
      <c r="C318" s="1600"/>
      <c r="D318" s="1602"/>
      <c r="E318" s="1603" t="s">
        <v>706</v>
      </c>
      <c r="F318" s="1502"/>
      <c r="G318" s="1502"/>
      <c r="H318" s="1502"/>
      <c r="I318" s="1502"/>
      <c r="J318" s="1502"/>
      <c r="K318" s="1502"/>
      <c r="L318" s="1502"/>
      <c r="M318" s="1502"/>
    </row>
    <row r="319" spans="1:13" ht="24" customHeight="1">
      <c r="A319" s="1593"/>
      <c r="B319" s="1599"/>
      <c r="C319" s="1600"/>
      <c r="D319" s="1602">
        <v>1</v>
      </c>
      <c r="E319" s="1604" t="s">
        <v>1031</v>
      </c>
      <c r="F319" s="1502">
        <v>0</v>
      </c>
      <c r="G319" s="1502">
        <v>0</v>
      </c>
      <c r="H319" s="1502">
        <v>0</v>
      </c>
      <c r="I319" s="1502">
        <v>0</v>
      </c>
      <c r="J319" s="1502">
        <v>0</v>
      </c>
      <c r="K319" s="1502">
        <v>0</v>
      </c>
      <c r="L319" s="1502">
        <f>750000+1640000</f>
        <v>2390000</v>
      </c>
      <c r="M319" s="1502">
        <f>F319+G319+H319+I319+J319+K319+L319</f>
        <v>2390000</v>
      </c>
    </row>
    <row r="320" spans="1:13" ht="24" customHeight="1">
      <c r="A320" s="1593"/>
      <c r="B320" s="1599"/>
      <c r="C320" s="1600"/>
      <c r="D320" s="1602">
        <v>2</v>
      </c>
      <c r="E320" s="1320" t="s">
        <v>1032</v>
      </c>
      <c r="F320" s="1502">
        <v>0</v>
      </c>
      <c r="G320" s="1502">
        <v>0</v>
      </c>
      <c r="H320" s="1502">
        <v>0</v>
      </c>
      <c r="I320" s="1502">
        <v>0</v>
      </c>
      <c r="J320" s="1502">
        <v>0</v>
      </c>
      <c r="K320" s="1502">
        <v>0</v>
      </c>
      <c r="L320" s="1502">
        <v>0</v>
      </c>
      <c r="M320" s="1502">
        <f>F320+G320+H320+I320+J320+K320+L320</f>
        <v>0</v>
      </c>
    </row>
    <row r="321" spans="1:13" ht="24" customHeight="1">
      <c r="A321" s="1593"/>
      <c r="B321" s="1599"/>
      <c r="C321" s="1600"/>
      <c r="D321" s="1602">
        <v>3</v>
      </c>
      <c r="E321" s="1320" t="s">
        <v>1033</v>
      </c>
      <c r="F321" s="1502">
        <v>0</v>
      </c>
      <c r="G321" s="1502">
        <v>0</v>
      </c>
      <c r="H321" s="1502">
        <v>0</v>
      </c>
      <c r="I321" s="1502">
        <v>0</v>
      </c>
      <c r="J321" s="1502">
        <v>0</v>
      </c>
      <c r="K321" s="1502">
        <v>0</v>
      </c>
      <c r="L321" s="1502">
        <v>0</v>
      </c>
      <c r="M321" s="1502">
        <f>F321+G321+H321+I321+J321+K321+L321</f>
        <v>0</v>
      </c>
    </row>
    <row r="322" spans="1:13" ht="24" customHeight="1">
      <c r="A322" s="1593"/>
      <c r="B322" s="1599"/>
      <c r="C322" s="1600"/>
      <c r="D322" s="1602">
        <v>4</v>
      </c>
      <c r="E322" s="1320" t="s">
        <v>1034</v>
      </c>
      <c r="F322" s="1502">
        <v>0</v>
      </c>
      <c r="G322" s="1502">
        <v>0</v>
      </c>
      <c r="H322" s="1502">
        <v>0</v>
      </c>
      <c r="I322" s="1502">
        <v>0</v>
      </c>
      <c r="J322" s="1502">
        <v>0</v>
      </c>
      <c r="K322" s="1502">
        <v>0</v>
      </c>
      <c r="L322" s="1502">
        <v>0</v>
      </c>
      <c r="M322" s="1502">
        <f>F322+G322+H322+I322+J322+K322+L322</f>
        <v>0</v>
      </c>
    </row>
    <row r="323" spans="1:13" ht="24" customHeight="1">
      <c r="A323" s="1593"/>
      <c r="B323" s="1599"/>
      <c r="C323" s="1605" t="s">
        <v>121</v>
      </c>
      <c r="D323" s="1601"/>
      <c r="E323" s="1315" t="s">
        <v>1035</v>
      </c>
      <c r="F323" s="1316">
        <f aca="true" t="shared" si="57" ref="F323:L323">F325</f>
        <v>0</v>
      </c>
      <c r="G323" s="1316">
        <f t="shared" si="57"/>
        <v>0</v>
      </c>
      <c r="H323" s="1316">
        <f>H325</f>
        <v>0</v>
      </c>
      <c r="I323" s="1316">
        <f>I325</f>
        <v>0</v>
      </c>
      <c r="J323" s="1316">
        <f>J325</f>
        <v>0</v>
      </c>
      <c r="K323" s="1316">
        <f>K325</f>
        <v>0</v>
      </c>
      <c r="L323" s="1316">
        <f t="shared" si="57"/>
        <v>0</v>
      </c>
      <c r="M323" s="1316">
        <f>F323+G323+H323+I323+J323+K323+L323</f>
        <v>0</v>
      </c>
    </row>
    <row r="324" spans="1:13" ht="21" customHeight="1">
      <c r="A324" s="1593"/>
      <c r="B324" s="1599"/>
      <c r="C324" s="1600"/>
      <c r="D324" s="1602"/>
      <c r="E324" s="1603" t="s">
        <v>706</v>
      </c>
      <c r="F324" s="1502"/>
      <c r="G324" s="1502"/>
      <c r="H324" s="1502"/>
      <c r="I324" s="1502"/>
      <c r="J324" s="1502"/>
      <c r="K324" s="1502"/>
      <c r="L324" s="1502"/>
      <c r="M324" s="1502"/>
    </row>
    <row r="325" spans="1:13" ht="37.5" customHeight="1">
      <c r="A325" s="1593"/>
      <c r="B325" s="1599"/>
      <c r="C325" s="1600"/>
      <c r="D325" s="1602">
        <v>1</v>
      </c>
      <c r="E325" s="1320" t="s">
        <v>1036</v>
      </c>
      <c r="F325" s="1502">
        <v>0</v>
      </c>
      <c r="G325" s="1502">
        <v>0</v>
      </c>
      <c r="H325" s="1502">
        <v>0</v>
      </c>
      <c r="I325" s="1502">
        <v>0</v>
      </c>
      <c r="J325" s="1502">
        <v>0</v>
      </c>
      <c r="K325" s="1502">
        <v>0</v>
      </c>
      <c r="L325" s="1502">
        <v>0</v>
      </c>
      <c r="M325" s="1502">
        <f>SUM(F325:L325)</f>
        <v>0</v>
      </c>
    </row>
    <row r="326" spans="1:13" ht="36" customHeight="1">
      <c r="A326" s="1593"/>
      <c r="B326" s="1615">
        <v>80123</v>
      </c>
      <c r="C326" s="1595"/>
      <c r="D326" s="1596"/>
      <c r="E326" s="1597" t="s">
        <v>785</v>
      </c>
      <c r="F326" s="1598">
        <f aca="true" t="shared" si="58" ref="F326:L326">F327+F333</f>
        <v>0</v>
      </c>
      <c r="G326" s="1598">
        <f t="shared" si="58"/>
        <v>0</v>
      </c>
      <c r="H326" s="1598">
        <f t="shared" si="58"/>
        <v>0</v>
      </c>
      <c r="I326" s="1598">
        <f t="shared" si="58"/>
        <v>0</v>
      </c>
      <c r="J326" s="1598">
        <f t="shared" si="58"/>
        <v>0</v>
      </c>
      <c r="K326" s="1598">
        <f t="shared" si="58"/>
        <v>0</v>
      </c>
      <c r="L326" s="1598">
        <f t="shared" si="58"/>
        <v>211000</v>
      </c>
      <c r="M326" s="1598">
        <f>SUM(F326:L326)</f>
        <v>211000</v>
      </c>
    </row>
    <row r="327" spans="1:13" ht="24" customHeight="1">
      <c r="A327" s="1593"/>
      <c r="B327" s="1599"/>
      <c r="C327" s="1600" t="s">
        <v>602</v>
      </c>
      <c r="D327" s="1601"/>
      <c r="E327" s="1315" t="s">
        <v>1030</v>
      </c>
      <c r="F327" s="1316">
        <v>0</v>
      </c>
      <c r="G327" s="1316">
        <v>0</v>
      </c>
      <c r="H327" s="1316">
        <v>0</v>
      </c>
      <c r="I327" s="1316">
        <v>0</v>
      </c>
      <c r="J327" s="1316">
        <v>0</v>
      </c>
      <c r="K327" s="1316">
        <v>0</v>
      </c>
      <c r="L327" s="1316">
        <f>211000</f>
        <v>211000</v>
      </c>
      <c r="M327" s="1502">
        <f>F327+G327+H327+I327+J327+K327+L327</f>
        <v>211000</v>
      </c>
    </row>
    <row r="328" spans="1:13" ht="18" customHeight="1">
      <c r="A328" s="1593"/>
      <c r="B328" s="1599"/>
      <c r="C328" s="1600"/>
      <c r="D328" s="1602"/>
      <c r="E328" s="1603" t="s">
        <v>706</v>
      </c>
      <c r="F328" s="1502"/>
      <c r="G328" s="1502"/>
      <c r="H328" s="1502"/>
      <c r="I328" s="1502"/>
      <c r="J328" s="1502"/>
      <c r="K328" s="1502"/>
      <c r="L328" s="1502"/>
      <c r="M328" s="1502"/>
    </row>
    <row r="329" spans="1:13" ht="24" customHeight="1">
      <c r="A329" s="1593"/>
      <c r="B329" s="1599"/>
      <c r="C329" s="1600"/>
      <c r="D329" s="1602">
        <v>1</v>
      </c>
      <c r="E329" s="1604" t="s">
        <v>1031</v>
      </c>
      <c r="F329" s="1502">
        <v>0</v>
      </c>
      <c r="G329" s="1502">
        <v>0</v>
      </c>
      <c r="H329" s="1502">
        <v>0</v>
      </c>
      <c r="I329" s="1502">
        <v>0</v>
      </c>
      <c r="J329" s="1502">
        <v>0</v>
      </c>
      <c r="K329" s="1502">
        <v>0</v>
      </c>
      <c r="L329" s="1502">
        <f>199000</f>
        <v>199000</v>
      </c>
      <c r="M329" s="1502">
        <f>F329+G329+H329+I329+J329+K329+L329</f>
        <v>199000</v>
      </c>
    </row>
    <row r="330" spans="1:13" ht="24" customHeight="1">
      <c r="A330" s="1593"/>
      <c r="B330" s="1599"/>
      <c r="C330" s="1600"/>
      <c r="D330" s="1602">
        <v>2</v>
      </c>
      <c r="E330" s="1320" t="s">
        <v>1032</v>
      </c>
      <c r="F330" s="1502">
        <v>0</v>
      </c>
      <c r="G330" s="1502">
        <v>0</v>
      </c>
      <c r="H330" s="1502">
        <v>0</v>
      </c>
      <c r="I330" s="1502">
        <v>0</v>
      </c>
      <c r="J330" s="1502">
        <v>0</v>
      </c>
      <c r="K330" s="1502">
        <v>0</v>
      </c>
      <c r="L330" s="1502">
        <v>0</v>
      </c>
      <c r="M330" s="1502">
        <f>F330+G330+H330+I330+J330+K330+L330</f>
        <v>0</v>
      </c>
    </row>
    <row r="331" spans="1:13" ht="24" customHeight="1">
      <c r="A331" s="1593"/>
      <c r="B331" s="1599"/>
      <c r="C331" s="1600"/>
      <c r="D331" s="1602">
        <v>3</v>
      </c>
      <c r="E331" s="1320" t="s">
        <v>1033</v>
      </c>
      <c r="F331" s="1502">
        <v>0</v>
      </c>
      <c r="G331" s="1502">
        <v>0</v>
      </c>
      <c r="H331" s="1502">
        <v>0</v>
      </c>
      <c r="I331" s="1502">
        <v>0</v>
      </c>
      <c r="J331" s="1502">
        <v>0</v>
      </c>
      <c r="K331" s="1502">
        <v>0</v>
      </c>
      <c r="L331" s="1502">
        <v>0</v>
      </c>
      <c r="M331" s="1502">
        <f>F331+G331+H331+I331+J331+K331+L331</f>
        <v>0</v>
      </c>
    </row>
    <row r="332" spans="1:13" ht="24" customHeight="1">
      <c r="A332" s="1593"/>
      <c r="B332" s="1599"/>
      <c r="C332" s="1600"/>
      <c r="D332" s="1602">
        <v>4</v>
      </c>
      <c r="E332" s="1320" t="s">
        <v>1034</v>
      </c>
      <c r="F332" s="1502">
        <v>0</v>
      </c>
      <c r="G332" s="1502">
        <v>0</v>
      </c>
      <c r="H332" s="1502">
        <v>0</v>
      </c>
      <c r="I332" s="1502">
        <v>0</v>
      </c>
      <c r="J332" s="1502">
        <v>0</v>
      </c>
      <c r="K332" s="1502">
        <v>0</v>
      </c>
      <c r="L332" s="1502">
        <v>0</v>
      </c>
      <c r="M332" s="1502">
        <f>F332+G332+H332+I332+J332+K332+L332</f>
        <v>0</v>
      </c>
    </row>
    <row r="333" spans="1:13" ht="24" customHeight="1">
      <c r="A333" s="1593"/>
      <c r="B333" s="1599"/>
      <c r="C333" s="1605" t="s">
        <v>121</v>
      </c>
      <c r="D333" s="1601"/>
      <c r="E333" s="1315" t="s">
        <v>1035</v>
      </c>
      <c r="F333" s="1316">
        <f aca="true" t="shared" si="59" ref="F333:L333">F335</f>
        <v>0</v>
      </c>
      <c r="G333" s="1316">
        <f t="shared" si="59"/>
        <v>0</v>
      </c>
      <c r="H333" s="1316">
        <f t="shared" si="59"/>
        <v>0</v>
      </c>
      <c r="I333" s="1316">
        <f t="shared" si="59"/>
        <v>0</v>
      </c>
      <c r="J333" s="1316">
        <f t="shared" si="59"/>
        <v>0</v>
      </c>
      <c r="K333" s="1316">
        <f t="shared" si="59"/>
        <v>0</v>
      </c>
      <c r="L333" s="1316">
        <f t="shared" si="59"/>
        <v>0</v>
      </c>
      <c r="M333" s="1316">
        <f>F333+G333+H333+I333+J333+K333+L333</f>
        <v>0</v>
      </c>
    </row>
    <row r="334" spans="1:13" ht="21" customHeight="1">
      <c r="A334" s="1593"/>
      <c r="B334" s="1599"/>
      <c r="C334" s="1600"/>
      <c r="D334" s="1602"/>
      <c r="E334" s="1603" t="s">
        <v>706</v>
      </c>
      <c r="F334" s="1502"/>
      <c r="G334" s="1502"/>
      <c r="H334" s="1502"/>
      <c r="I334" s="1502"/>
      <c r="J334" s="1502"/>
      <c r="K334" s="1502"/>
      <c r="L334" s="1502"/>
      <c r="M334" s="1502"/>
    </row>
    <row r="335" spans="1:13" ht="43.5" customHeight="1">
      <c r="A335" s="1593"/>
      <c r="B335" s="1599"/>
      <c r="C335" s="1600"/>
      <c r="D335" s="1602">
        <v>1</v>
      </c>
      <c r="E335" s="1320" t="s">
        <v>1036</v>
      </c>
      <c r="F335" s="1502">
        <v>0</v>
      </c>
      <c r="G335" s="1502">
        <v>0</v>
      </c>
      <c r="H335" s="1502">
        <v>0</v>
      </c>
      <c r="I335" s="1502">
        <v>0</v>
      </c>
      <c r="J335" s="1502">
        <v>0</v>
      </c>
      <c r="K335" s="1502">
        <v>0</v>
      </c>
      <c r="L335" s="1502">
        <v>0</v>
      </c>
      <c r="M335" s="1502">
        <f>SUM(F335:L335)</f>
        <v>0</v>
      </c>
    </row>
    <row r="336" spans="1:13" ht="36" customHeight="1">
      <c r="A336" s="1593"/>
      <c r="B336" s="1615">
        <v>80130</v>
      </c>
      <c r="C336" s="1595"/>
      <c r="D336" s="1596"/>
      <c r="E336" s="1597" t="s">
        <v>787</v>
      </c>
      <c r="F336" s="1598">
        <f aca="true" t="shared" si="60" ref="F336:L336">F337+F343</f>
        <v>0</v>
      </c>
      <c r="G336" s="1598">
        <f t="shared" si="60"/>
        <v>0</v>
      </c>
      <c r="H336" s="1598"/>
      <c r="I336" s="1598">
        <f t="shared" si="60"/>
        <v>0</v>
      </c>
      <c r="J336" s="1598"/>
      <c r="K336" s="1598">
        <f t="shared" si="60"/>
        <v>0</v>
      </c>
      <c r="L336" s="1598">
        <f t="shared" si="60"/>
        <v>452000</v>
      </c>
      <c r="M336" s="1598">
        <f>SUM(F336:L336)</f>
        <v>452000</v>
      </c>
    </row>
    <row r="337" spans="1:13" ht="24" customHeight="1">
      <c r="A337" s="1593"/>
      <c r="B337" s="1599"/>
      <c r="C337" s="1600" t="s">
        <v>602</v>
      </c>
      <c r="D337" s="1601"/>
      <c r="E337" s="1315" t="s">
        <v>1030</v>
      </c>
      <c r="F337" s="1316">
        <v>0</v>
      </c>
      <c r="G337" s="1316">
        <v>0</v>
      </c>
      <c r="H337" s="1316"/>
      <c r="I337" s="1316">
        <v>0</v>
      </c>
      <c r="J337" s="1316"/>
      <c r="K337" s="1316">
        <v>0</v>
      </c>
      <c r="L337" s="1316">
        <v>452000</v>
      </c>
      <c r="M337" s="1502">
        <f>F337+G337+H337+I337+J337+K337+L337</f>
        <v>452000</v>
      </c>
    </row>
    <row r="338" spans="1:13" ht="18" customHeight="1">
      <c r="A338" s="1593"/>
      <c r="B338" s="1599"/>
      <c r="C338" s="1600"/>
      <c r="D338" s="1602"/>
      <c r="E338" s="1603" t="s">
        <v>706</v>
      </c>
      <c r="F338" s="1502"/>
      <c r="G338" s="1502"/>
      <c r="H338" s="1502"/>
      <c r="I338" s="1502"/>
      <c r="J338" s="1502"/>
      <c r="K338" s="1502"/>
      <c r="L338" s="1502"/>
      <c r="M338" s="1502"/>
    </row>
    <row r="339" spans="1:13" ht="24" customHeight="1">
      <c r="A339" s="1593"/>
      <c r="B339" s="1599"/>
      <c r="C339" s="1600"/>
      <c r="D339" s="1602">
        <v>1</v>
      </c>
      <c r="E339" s="1604" t="s">
        <v>1031</v>
      </c>
      <c r="F339" s="1502">
        <v>0</v>
      </c>
      <c r="G339" s="1502">
        <v>0</v>
      </c>
      <c r="H339" s="1502"/>
      <c r="I339" s="1502">
        <v>0</v>
      </c>
      <c r="J339" s="1502"/>
      <c r="K339" s="1502">
        <v>0</v>
      </c>
      <c r="L339" s="1502">
        <v>362000</v>
      </c>
      <c r="M339" s="1502">
        <f>F339+G339+H339+I339+J339+K339+L339</f>
        <v>362000</v>
      </c>
    </row>
    <row r="340" spans="1:13" ht="24" customHeight="1">
      <c r="A340" s="1593"/>
      <c r="B340" s="1599"/>
      <c r="C340" s="1600"/>
      <c r="D340" s="1602">
        <v>2</v>
      </c>
      <c r="E340" s="1320" t="s">
        <v>1032</v>
      </c>
      <c r="F340" s="1502">
        <v>0</v>
      </c>
      <c r="G340" s="1502">
        <v>0</v>
      </c>
      <c r="H340" s="1502"/>
      <c r="I340" s="1502">
        <v>0</v>
      </c>
      <c r="J340" s="1502"/>
      <c r="K340" s="1502">
        <v>0</v>
      </c>
      <c r="L340" s="1502">
        <v>0</v>
      </c>
      <c r="M340" s="1502">
        <f>F340+G340+H340+I340+J340+K340+L340</f>
        <v>0</v>
      </c>
    </row>
    <row r="341" spans="1:13" ht="24" customHeight="1">
      <c r="A341" s="1593"/>
      <c r="B341" s="1599"/>
      <c r="C341" s="1600"/>
      <c r="D341" s="1602">
        <v>3</v>
      </c>
      <c r="E341" s="1320" t="s">
        <v>1033</v>
      </c>
      <c r="F341" s="1502">
        <v>0</v>
      </c>
      <c r="G341" s="1502">
        <v>0</v>
      </c>
      <c r="H341" s="1502"/>
      <c r="I341" s="1502">
        <v>0</v>
      </c>
      <c r="J341" s="1502"/>
      <c r="K341" s="1502">
        <v>0</v>
      </c>
      <c r="L341" s="1502">
        <v>0</v>
      </c>
      <c r="M341" s="1502">
        <f>F341+G341+H341+I341+J341+K341+L341</f>
        <v>0</v>
      </c>
    </row>
    <row r="342" spans="1:13" ht="24" customHeight="1">
      <c r="A342" s="1593"/>
      <c r="B342" s="1599"/>
      <c r="C342" s="1600"/>
      <c r="D342" s="1602">
        <v>4</v>
      </c>
      <c r="E342" s="1320" t="s">
        <v>1034</v>
      </c>
      <c r="F342" s="1502">
        <v>0</v>
      </c>
      <c r="G342" s="1502">
        <v>0</v>
      </c>
      <c r="H342" s="1502"/>
      <c r="I342" s="1502">
        <v>0</v>
      </c>
      <c r="J342" s="1502"/>
      <c r="K342" s="1502">
        <v>0</v>
      </c>
      <c r="L342" s="1502">
        <v>0</v>
      </c>
      <c r="M342" s="1502">
        <f>F342+G342+H342+I342+J342+K342+L342</f>
        <v>0</v>
      </c>
    </row>
    <row r="343" spans="1:13" ht="24" customHeight="1">
      <c r="A343" s="1593"/>
      <c r="B343" s="1599"/>
      <c r="C343" s="1605" t="s">
        <v>121</v>
      </c>
      <c r="D343" s="1601"/>
      <c r="E343" s="1315" t="s">
        <v>1035</v>
      </c>
      <c r="F343" s="1316">
        <f aca="true" t="shared" si="61" ref="F343:L343">F345</f>
        <v>0</v>
      </c>
      <c r="G343" s="1316">
        <f t="shared" si="61"/>
        <v>0</v>
      </c>
      <c r="H343" s="1316"/>
      <c r="I343" s="1316">
        <f t="shared" si="61"/>
        <v>0</v>
      </c>
      <c r="J343" s="1316"/>
      <c r="K343" s="1316">
        <f t="shared" si="61"/>
        <v>0</v>
      </c>
      <c r="L343" s="1316">
        <f t="shared" si="61"/>
        <v>0</v>
      </c>
      <c r="M343" s="1316">
        <f>F343+G343+H343+I343+J343+K343+L343</f>
        <v>0</v>
      </c>
    </row>
    <row r="344" spans="1:13" ht="21" customHeight="1">
      <c r="A344" s="1593"/>
      <c r="B344" s="1599"/>
      <c r="C344" s="1600"/>
      <c r="D344" s="1602"/>
      <c r="E344" s="1603" t="s">
        <v>706</v>
      </c>
      <c r="F344" s="1502"/>
      <c r="G344" s="1502"/>
      <c r="H344" s="1502"/>
      <c r="I344" s="1502"/>
      <c r="J344" s="1502"/>
      <c r="K344" s="1502"/>
      <c r="L344" s="1502"/>
      <c r="M344" s="1502"/>
    </row>
    <row r="345" spans="1:13" ht="45" customHeight="1">
      <c r="A345" s="1593"/>
      <c r="B345" s="1599"/>
      <c r="C345" s="1600"/>
      <c r="D345" s="1602">
        <v>1</v>
      </c>
      <c r="E345" s="1320" t="s">
        <v>1036</v>
      </c>
      <c r="F345" s="1502">
        <v>0</v>
      </c>
      <c r="G345" s="1502">
        <v>0</v>
      </c>
      <c r="H345" s="1502"/>
      <c r="I345" s="1502">
        <v>0</v>
      </c>
      <c r="J345" s="1502"/>
      <c r="K345" s="1502">
        <v>0</v>
      </c>
      <c r="L345" s="1502">
        <v>0</v>
      </c>
      <c r="M345" s="1502">
        <f>SUM(F345:L345)</f>
        <v>0</v>
      </c>
    </row>
    <row r="346" spans="1:13" ht="36" customHeight="1">
      <c r="A346" s="1593"/>
      <c r="B346" s="1615">
        <v>80145</v>
      </c>
      <c r="C346" s="1595"/>
      <c r="D346" s="1596"/>
      <c r="E346" s="1597" t="s">
        <v>788</v>
      </c>
      <c r="F346" s="1598">
        <f aca="true" t="shared" si="62" ref="F346:L346">F347+F353</f>
        <v>0</v>
      </c>
      <c r="G346" s="1598">
        <f t="shared" si="62"/>
        <v>0</v>
      </c>
      <c r="H346" s="1598"/>
      <c r="I346" s="1598">
        <f t="shared" si="62"/>
        <v>0</v>
      </c>
      <c r="J346" s="1598"/>
      <c r="K346" s="1598">
        <f t="shared" si="62"/>
        <v>0</v>
      </c>
      <c r="L346" s="1598">
        <f t="shared" si="62"/>
        <v>3500</v>
      </c>
      <c r="M346" s="1598">
        <f>SUM(F346:L346)</f>
        <v>3500</v>
      </c>
    </row>
    <row r="347" spans="1:13" ht="24" customHeight="1">
      <c r="A347" s="1593"/>
      <c r="B347" s="1599"/>
      <c r="C347" s="1600" t="s">
        <v>602</v>
      </c>
      <c r="D347" s="1601"/>
      <c r="E347" s="1315" t="s">
        <v>1030</v>
      </c>
      <c r="F347" s="1316">
        <v>0</v>
      </c>
      <c r="G347" s="1316">
        <v>0</v>
      </c>
      <c r="H347" s="1316"/>
      <c r="I347" s="1316">
        <v>0</v>
      </c>
      <c r="J347" s="1316"/>
      <c r="K347" s="1316">
        <v>0</v>
      </c>
      <c r="L347" s="1316">
        <v>3500</v>
      </c>
      <c r="M347" s="1502">
        <f>F347+G347+H347+I347+J347+K347+L347</f>
        <v>3500</v>
      </c>
    </row>
    <row r="348" spans="1:13" ht="18" customHeight="1">
      <c r="A348" s="1593"/>
      <c r="B348" s="1599"/>
      <c r="C348" s="1600"/>
      <c r="D348" s="1602"/>
      <c r="E348" s="1603" t="s">
        <v>706</v>
      </c>
      <c r="F348" s="1502"/>
      <c r="G348" s="1502"/>
      <c r="H348" s="1502"/>
      <c r="I348" s="1502"/>
      <c r="J348" s="1502"/>
      <c r="K348" s="1502"/>
      <c r="L348" s="1502"/>
      <c r="M348" s="1502"/>
    </row>
    <row r="349" spans="1:13" ht="24" customHeight="1">
      <c r="A349" s="1593"/>
      <c r="B349" s="1599"/>
      <c r="C349" s="1600"/>
      <c r="D349" s="1602">
        <v>1</v>
      </c>
      <c r="E349" s="1604" t="s">
        <v>1031</v>
      </c>
      <c r="F349" s="1502">
        <v>0</v>
      </c>
      <c r="G349" s="1502">
        <v>0</v>
      </c>
      <c r="H349" s="1502"/>
      <c r="I349" s="1502">
        <v>0</v>
      </c>
      <c r="J349" s="1502"/>
      <c r="K349" s="1502">
        <v>0</v>
      </c>
      <c r="L349" s="1502">
        <v>3500</v>
      </c>
      <c r="M349" s="1502">
        <f>F349+G349+H349+I349+J349+K349+L349</f>
        <v>3500</v>
      </c>
    </row>
    <row r="350" spans="1:13" ht="24" customHeight="1">
      <c r="A350" s="1593"/>
      <c r="B350" s="1599"/>
      <c r="C350" s="1600"/>
      <c r="D350" s="1602">
        <v>2</v>
      </c>
      <c r="E350" s="1320" t="s">
        <v>1032</v>
      </c>
      <c r="F350" s="1502">
        <v>0</v>
      </c>
      <c r="G350" s="1502">
        <v>0</v>
      </c>
      <c r="H350" s="1502"/>
      <c r="I350" s="1502">
        <v>0</v>
      </c>
      <c r="J350" s="1502"/>
      <c r="K350" s="1502">
        <v>0</v>
      </c>
      <c r="L350" s="1502">
        <v>0</v>
      </c>
      <c r="M350" s="1502">
        <f>F350+G350+H350+I350+J350+K350+L350</f>
        <v>0</v>
      </c>
    </row>
    <row r="351" spans="1:13" ht="24" customHeight="1">
      <c r="A351" s="1593"/>
      <c r="B351" s="1599"/>
      <c r="C351" s="1600"/>
      <c r="D351" s="1602">
        <v>3</v>
      </c>
      <c r="E351" s="1320" t="s">
        <v>1033</v>
      </c>
      <c r="F351" s="1502">
        <v>0</v>
      </c>
      <c r="G351" s="1502">
        <v>0</v>
      </c>
      <c r="H351" s="1502"/>
      <c r="I351" s="1502">
        <v>0</v>
      </c>
      <c r="J351" s="1502"/>
      <c r="K351" s="1502">
        <v>0</v>
      </c>
      <c r="L351" s="1502">
        <v>0</v>
      </c>
      <c r="M351" s="1502">
        <f>F351+G351+H351+I351+J351+K351+L351</f>
        <v>0</v>
      </c>
    </row>
    <row r="352" spans="1:13" ht="24" customHeight="1">
      <c r="A352" s="1593"/>
      <c r="B352" s="1599"/>
      <c r="C352" s="1600"/>
      <c r="D352" s="1602">
        <v>4</v>
      </c>
      <c r="E352" s="1320" t="s">
        <v>1034</v>
      </c>
      <c r="F352" s="1502">
        <v>0</v>
      </c>
      <c r="G352" s="1502">
        <v>0</v>
      </c>
      <c r="H352" s="1502"/>
      <c r="I352" s="1502">
        <v>0</v>
      </c>
      <c r="J352" s="1502"/>
      <c r="K352" s="1502">
        <v>0</v>
      </c>
      <c r="L352" s="1502">
        <v>0</v>
      </c>
      <c r="M352" s="1502">
        <f>F352+G352+H352+I352+J352+K352+L352</f>
        <v>0</v>
      </c>
    </row>
    <row r="353" spans="1:13" ht="24" customHeight="1">
      <c r="A353" s="1593"/>
      <c r="B353" s="1599"/>
      <c r="C353" s="1605" t="s">
        <v>121</v>
      </c>
      <c r="D353" s="1601"/>
      <c r="E353" s="1315" t="s">
        <v>1035</v>
      </c>
      <c r="F353" s="1316">
        <f aca="true" t="shared" si="63" ref="F353:L353">F355</f>
        <v>0</v>
      </c>
      <c r="G353" s="1316">
        <f t="shared" si="63"/>
        <v>0</v>
      </c>
      <c r="H353" s="1316"/>
      <c r="I353" s="1316">
        <f t="shared" si="63"/>
        <v>0</v>
      </c>
      <c r="J353" s="1316"/>
      <c r="K353" s="1316">
        <f t="shared" si="63"/>
        <v>0</v>
      </c>
      <c r="L353" s="1316">
        <f t="shared" si="63"/>
        <v>0</v>
      </c>
      <c r="M353" s="1316">
        <f>F353+G353+H353+I353+J353+K353+L353</f>
        <v>0</v>
      </c>
    </row>
    <row r="354" spans="1:13" ht="21" customHeight="1">
      <c r="A354" s="1593"/>
      <c r="B354" s="1599"/>
      <c r="C354" s="1600"/>
      <c r="D354" s="1602"/>
      <c r="E354" s="1603" t="s">
        <v>706</v>
      </c>
      <c r="F354" s="1502"/>
      <c r="G354" s="1502"/>
      <c r="H354" s="1502"/>
      <c r="I354" s="1502"/>
      <c r="J354" s="1502"/>
      <c r="K354" s="1502"/>
      <c r="L354" s="1502"/>
      <c r="M354" s="1502"/>
    </row>
    <row r="355" spans="1:13" ht="37.5" customHeight="1">
      <c r="A355" s="1593"/>
      <c r="B355" s="1599"/>
      <c r="C355" s="1600"/>
      <c r="D355" s="1602">
        <v>1</v>
      </c>
      <c r="E355" s="1320" t="s">
        <v>1036</v>
      </c>
      <c r="F355" s="1502">
        <v>0</v>
      </c>
      <c r="G355" s="1502">
        <v>0</v>
      </c>
      <c r="H355" s="1502"/>
      <c r="I355" s="1502">
        <v>0</v>
      </c>
      <c r="J355" s="1502"/>
      <c r="K355" s="1502">
        <v>0</v>
      </c>
      <c r="L355" s="1502">
        <v>0</v>
      </c>
      <c r="M355" s="1502">
        <f>SUM(F355:L355)</f>
        <v>0</v>
      </c>
    </row>
    <row r="356" spans="1:13" ht="48.75" customHeight="1">
      <c r="A356" s="1593"/>
      <c r="B356" s="1615">
        <v>80146</v>
      </c>
      <c r="C356" s="1595"/>
      <c r="D356" s="1596"/>
      <c r="E356" s="1597" t="s">
        <v>1050</v>
      </c>
      <c r="F356" s="1598">
        <f aca="true" t="shared" si="64" ref="F356:L356">F357+F363</f>
        <v>0</v>
      </c>
      <c r="G356" s="1598">
        <f t="shared" si="64"/>
        <v>0</v>
      </c>
      <c r="H356" s="1598"/>
      <c r="I356" s="1598">
        <f t="shared" si="64"/>
        <v>0</v>
      </c>
      <c r="J356" s="1598"/>
      <c r="K356" s="1598">
        <f t="shared" si="64"/>
        <v>0</v>
      </c>
      <c r="L356" s="1598">
        <f t="shared" si="64"/>
        <v>76871</v>
      </c>
      <c r="M356" s="1598">
        <f>SUM(F356:L356)</f>
        <v>76871</v>
      </c>
    </row>
    <row r="357" spans="1:13" ht="24" customHeight="1">
      <c r="A357" s="1593"/>
      <c r="B357" s="1599"/>
      <c r="C357" s="1600" t="s">
        <v>602</v>
      </c>
      <c r="D357" s="1601"/>
      <c r="E357" s="1315" t="s">
        <v>1030</v>
      </c>
      <c r="F357" s="1316">
        <v>0</v>
      </c>
      <c r="G357" s="1316">
        <v>0</v>
      </c>
      <c r="H357" s="1316"/>
      <c r="I357" s="1316">
        <v>0</v>
      </c>
      <c r="J357" s="1316"/>
      <c r="K357" s="1316">
        <v>0</v>
      </c>
      <c r="L357" s="1316">
        <f>65000+11871</f>
        <v>76871</v>
      </c>
      <c r="M357" s="1502">
        <f>F357+G357+H357+I357+J357+K357+L357</f>
        <v>76871</v>
      </c>
    </row>
    <row r="358" spans="1:13" ht="18" customHeight="1">
      <c r="A358" s="1593"/>
      <c r="B358" s="1599"/>
      <c r="C358" s="1600"/>
      <c r="D358" s="1602"/>
      <c r="E358" s="1603" t="s">
        <v>706</v>
      </c>
      <c r="F358" s="1502"/>
      <c r="G358" s="1502"/>
      <c r="H358" s="1502"/>
      <c r="I358" s="1502"/>
      <c r="J358" s="1502"/>
      <c r="K358" s="1502"/>
      <c r="L358" s="1502"/>
      <c r="M358" s="1502"/>
    </row>
    <row r="359" spans="1:13" ht="24" customHeight="1">
      <c r="A359" s="1593"/>
      <c r="B359" s="1599"/>
      <c r="C359" s="1600"/>
      <c r="D359" s="1602">
        <v>1</v>
      </c>
      <c r="E359" s="1604" t="s">
        <v>1031</v>
      </c>
      <c r="F359" s="1502">
        <v>0</v>
      </c>
      <c r="G359" s="1502">
        <v>0</v>
      </c>
      <c r="H359" s="1502"/>
      <c r="I359" s="1502">
        <v>0</v>
      </c>
      <c r="J359" s="1502"/>
      <c r="K359" s="1502">
        <v>0</v>
      </c>
      <c r="L359" s="1502">
        <v>0</v>
      </c>
      <c r="M359" s="1502">
        <f>F359+G359+H359+I359+J359+K359+L359</f>
        <v>0</v>
      </c>
    </row>
    <row r="360" spans="1:13" ht="24" customHeight="1">
      <c r="A360" s="1593"/>
      <c r="B360" s="1599"/>
      <c r="C360" s="1600"/>
      <c r="D360" s="1602">
        <v>2</v>
      </c>
      <c r="E360" s="1320" t="s">
        <v>1032</v>
      </c>
      <c r="F360" s="1502">
        <v>0</v>
      </c>
      <c r="G360" s="1502">
        <v>0</v>
      </c>
      <c r="H360" s="1502"/>
      <c r="I360" s="1502">
        <v>0</v>
      </c>
      <c r="J360" s="1502"/>
      <c r="K360" s="1502">
        <v>0</v>
      </c>
      <c r="L360" s="1502">
        <v>11871</v>
      </c>
      <c r="M360" s="1502">
        <f>F360+G360+H360+I360+J360+K360+L360</f>
        <v>11871</v>
      </c>
    </row>
    <row r="361" spans="1:13" ht="24" customHeight="1">
      <c r="A361" s="1593"/>
      <c r="B361" s="1599"/>
      <c r="C361" s="1600"/>
      <c r="D361" s="1602">
        <v>3</v>
      </c>
      <c r="E361" s="1320" t="s">
        <v>1033</v>
      </c>
      <c r="F361" s="1502">
        <v>0</v>
      </c>
      <c r="G361" s="1502">
        <v>0</v>
      </c>
      <c r="H361" s="1502"/>
      <c r="I361" s="1502">
        <v>0</v>
      </c>
      <c r="J361" s="1502"/>
      <c r="K361" s="1502">
        <v>0</v>
      </c>
      <c r="L361" s="1502">
        <v>0</v>
      </c>
      <c r="M361" s="1502">
        <f>F361+G361+H361+I361+J361+K361+L361</f>
        <v>0</v>
      </c>
    </row>
    <row r="362" spans="1:13" ht="24" customHeight="1">
      <c r="A362" s="1593"/>
      <c r="B362" s="1599"/>
      <c r="C362" s="1600"/>
      <c r="D362" s="1602">
        <v>4</v>
      </c>
      <c r="E362" s="1320" t="s">
        <v>1034</v>
      </c>
      <c r="F362" s="1502">
        <v>0</v>
      </c>
      <c r="G362" s="1502">
        <v>0</v>
      </c>
      <c r="H362" s="1502"/>
      <c r="I362" s="1502">
        <v>0</v>
      </c>
      <c r="J362" s="1502"/>
      <c r="K362" s="1502">
        <v>0</v>
      </c>
      <c r="L362" s="1502">
        <v>0</v>
      </c>
      <c r="M362" s="1502">
        <f>F362+G362+H362+I362+J362+K362+L362</f>
        <v>0</v>
      </c>
    </row>
    <row r="363" spans="1:13" ht="24" customHeight="1">
      <c r="A363" s="1593"/>
      <c r="B363" s="1599"/>
      <c r="C363" s="1605" t="s">
        <v>121</v>
      </c>
      <c r="D363" s="1601"/>
      <c r="E363" s="1315" t="s">
        <v>1035</v>
      </c>
      <c r="F363" s="1316">
        <f aca="true" t="shared" si="65" ref="F363:L363">F365</f>
        <v>0</v>
      </c>
      <c r="G363" s="1316">
        <f t="shared" si="65"/>
        <v>0</v>
      </c>
      <c r="H363" s="1316"/>
      <c r="I363" s="1316">
        <f t="shared" si="65"/>
        <v>0</v>
      </c>
      <c r="J363" s="1316"/>
      <c r="K363" s="1316">
        <f t="shared" si="65"/>
        <v>0</v>
      </c>
      <c r="L363" s="1316">
        <f t="shared" si="65"/>
        <v>0</v>
      </c>
      <c r="M363" s="1316">
        <f>F363+G363+H363+I363+J363+K363+L363</f>
        <v>0</v>
      </c>
    </row>
    <row r="364" spans="1:13" ht="21" customHeight="1">
      <c r="A364" s="1593"/>
      <c r="B364" s="1599"/>
      <c r="C364" s="1600"/>
      <c r="D364" s="1602"/>
      <c r="E364" s="1603" t="s">
        <v>706</v>
      </c>
      <c r="F364" s="1502"/>
      <c r="G364" s="1502"/>
      <c r="H364" s="1502"/>
      <c r="I364" s="1502"/>
      <c r="J364" s="1502"/>
      <c r="K364" s="1502"/>
      <c r="L364" s="1502"/>
      <c r="M364" s="1502"/>
    </row>
    <row r="365" spans="1:13" ht="37.5" customHeight="1">
      <c r="A365" s="1593"/>
      <c r="B365" s="1599"/>
      <c r="C365" s="1600"/>
      <c r="D365" s="1602">
        <v>1</v>
      </c>
      <c r="E365" s="1320" t="s">
        <v>1036</v>
      </c>
      <c r="F365" s="1502">
        <v>0</v>
      </c>
      <c r="G365" s="1502">
        <v>0</v>
      </c>
      <c r="H365" s="1502"/>
      <c r="I365" s="1502">
        <v>0</v>
      </c>
      <c r="J365" s="1502"/>
      <c r="K365" s="1502">
        <v>0</v>
      </c>
      <c r="L365" s="1502">
        <v>0</v>
      </c>
      <c r="M365" s="1502">
        <f>SUM(F365:L365)</f>
        <v>0</v>
      </c>
    </row>
    <row r="366" spans="1:13" ht="36" customHeight="1">
      <c r="A366" s="1593"/>
      <c r="B366" s="1615">
        <v>80195</v>
      </c>
      <c r="C366" s="1595"/>
      <c r="D366" s="1596"/>
      <c r="E366" s="1597" t="s">
        <v>24</v>
      </c>
      <c r="F366" s="1598">
        <f aca="true" t="shared" si="66" ref="F366:L366">F367+F373</f>
        <v>0</v>
      </c>
      <c r="G366" s="1598">
        <f t="shared" si="66"/>
        <v>0</v>
      </c>
      <c r="H366" s="1598">
        <f t="shared" si="66"/>
        <v>0</v>
      </c>
      <c r="I366" s="1598">
        <f t="shared" si="66"/>
        <v>0</v>
      </c>
      <c r="J366" s="1598">
        <f t="shared" si="66"/>
        <v>0</v>
      </c>
      <c r="K366" s="1598">
        <f t="shared" si="66"/>
        <v>0</v>
      </c>
      <c r="L366" s="1598">
        <f t="shared" si="66"/>
        <v>152236</v>
      </c>
      <c r="M366" s="1598">
        <f>SUM(F366:L366)</f>
        <v>152236</v>
      </c>
    </row>
    <row r="367" spans="1:13" ht="24" customHeight="1">
      <c r="A367" s="1593"/>
      <c r="B367" s="1599"/>
      <c r="C367" s="1600" t="s">
        <v>602</v>
      </c>
      <c r="D367" s="1601"/>
      <c r="E367" s="1315" t="s">
        <v>1030</v>
      </c>
      <c r="F367" s="1316">
        <v>0</v>
      </c>
      <c r="G367" s="1316">
        <v>0</v>
      </c>
      <c r="H367" s="1316">
        <v>0</v>
      </c>
      <c r="I367" s="1316">
        <v>0</v>
      </c>
      <c r="J367" s="1316">
        <v>0</v>
      </c>
      <c r="K367" s="1316">
        <v>0</v>
      </c>
      <c r="L367" s="1316">
        <f>30000+62236+30000+30000</f>
        <v>152236</v>
      </c>
      <c r="M367" s="1502">
        <f>F367+G367+H367+I367+J367+K367+L367</f>
        <v>152236</v>
      </c>
    </row>
    <row r="368" spans="1:13" ht="18" customHeight="1">
      <c r="A368" s="1593"/>
      <c r="B368" s="1599"/>
      <c r="C368" s="1600"/>
      <c r="D368" s="1602"/>
      <c r="E368" s="1603" t="s">
        <v>706</v>
      </c>
      <c r="F368" s="1502"/>
      <c r="G368" s="1502"/>
      <c r="H368" s="1502"/>
      <c r="I368" s="1502"/>
      <c r="J368" s="1502"/>
      <c r="K368" s="1502"/>
      <c r="L368" s="1502"/>
      <c r="M368" s="1502"/>
    </row>
    <row r="369" spans="1:13" ht="24" customHeight="1">
      <c r="A369" s="1593"/>
      <c r="B369" s="1599"/>
      <c r="C369" s="1600"/>
      <c r="D369" s="1602">
        <v>1</v>
      </c>
      <c r="E369" s="1604" t="s">
        <v>1031</v>
      </c>
      <c r="F369" s="1502">
        <v>0</v>
      </c>
      <c r="G369" s="1502">
        <v>0</v>
      </c>
      <c r="H369" s="1502">
        <v>0</v>
      </c>
      <c r="I369" s="1502">
        <v>0</v>
      </c>
      <c r="J369" s="1502">
        <v>0</v>
      </c>
      <c r="K369" s="1502">
        <v>0</v>
      </c>
      <c r="L369" s="1502">
        <v>30000</v>
      </c>
      <c r="M369" s="1502">
        <f>F369+G369+H369+I369+J369+K369+L369</f>
        <v>30000</v>
      </c>
    </row>
    <row r="370" spans="1:13" ht="24" customHeight="1">
      <c r="A370" s="1593"/>
      <c r="B370" s="1599"/>
      <c r="C370" s="1600"/>
      <c r="D370" s="1602">
        <v>2</v>
      </c>
      <c r="E370" s="1320" t="s">
        <v>1032</v>
      </c>
      <c r="F370" s="1502">
        <v>0</v>
      </c>
      <c r="G370" s="1502">
        <v>0</v>
      </c>
      <c r="H370" s="1502">
        <v>0</v>
      </c>
      <c r="I370" s="1502">
        <v>0</v>
      </c>
      <c r="J370" s="1502">
        <v>0</v>
      </c>
      <c r="K370" s="1502">
        <v>0</v>
      </c>
      <c r="L370" s="1502">
        <v>0</v>
      </c>
      <c r="M370" s="1502">
        <f>F370+G370+H370+I370+J370+K370+L370</f>
        <v>0</v>
      </c>
    </row>
    <row r="371" spans="1:13" ht="24" customHeight="1">
      <c r="A371" s="1593"/>
      <c r="B371" s="1599"/>
      <c r="C371" s="1600"/>
      <c r="D371" s="1602">
        <v>3</v>
      </c>
      <c r="E371" s="1320" t="s">
        <v>1033</v>
      </c>
      <c r="F371" s="1502">
        <v>0</v>
      </c>
      <c r="G371" s="1502">
        <v>0</v>
      </c>
      <c r="H371" s="1502">
        <v>0</v>
      </c>
      <c r="I371" s="1502">
        <v>0</v>
      </c>
      <c r="J371" s="1502">
        <v>0</v>
      </c>
      <c r="K371" s="1502">
        <v>0</v>
      </c>
      <c r="L371" s="1502">
        <v>0</v>
      </c>
      <c r="M371" s="1502">
        <f>F371+G371+H371+I371+J371+K371+L371</f>
        <v>0</v>
      </c>
    </row>
    <row r="372" spans="1:13" ht="24" customHeight="1">
      <c r="A372" s="1593"/>
      <c r="B372" s="1599"/>
      <c r="C372" s="1600"/>
      <c r="D372" s="1602">
        <v>4</v>
      </c>
      <c r="E372" s="1320" t="s">
        <v>1034</v>
      </c>
      <c r="F372" s="1502">
        <v>0</v>
      </c>
      <c r="G372" s="1502">
        <v>0</v>
      </c>
      <c r="H372" s="1502">
        <v>0</v>
      </c>
      <c r="I372" s="1502">
        <v>0</v>
      </c>
      <c r="J372" s="1502">
        <v>0</v>
      </c>
      <c r="K372" s="1502">
        <v>0</v>
      </c>
      <c r="L372" s="1502">
        <v>0</v>
      </c>
      <c r="M372" s="1502">
        <f>F372+G372+H372+I372+J372+K372+L372</f>
        <v>0</v>
      </c>
    </row>
    <row r="373" spans="1:13" ht="24" customHeight="1">
      <c r="A373" s="1593"/>
      <c r="B373" s="1599"/>
      <c r="C373" s="1605" t="s">
        <v>121</v>
      </c>
      <c r="D373" s="1601"/>
      <c r="E373" s="1315" t="s">
        <v>1035</v>
      </c>
      <c r="F373" s="1316">
        <f aca="true" t="shared" si="67" ref="F373:L373">F375</f>
        <v>0</v>
      </c>
      <c r="G373" s="1316">
        <f t="shared" si="67"/>
        <v>0</v>
      </c>
      <c r="H373" s="1316">
        <f t="shared" si="67"/>
        <v>0</v>
      </c>
      <c r="I373" s="1316">
        <f t="shared" si="67"/>
        <v>0</v>
      </c>
      <c r="J373" s="1316">
        <f t="shared" si="67"/>
        <v>0</v>
      </c>
      <c r="K373" s="1316">
        <f t="shared" si="67"/>
        <v>0</v>
      </c>
      <c r="L373" s="1316">
        <f t="shared" si="67"/>
        <v>0</v>
      </c>
      <c r="M373" s="1316">
        <f>F373+G373+H373+I373+J373+K373+L373</f>
        <v>0</v>
      </c>
    </row>
    <row r="374" spans="1:13" ht="21" customHeight="1">
      <c r="A374" s="1593"/>
      <c r="B374" s="1599"/>
      <c r="C374" s="1600"/>
      <c r="D374" s="1602"/>
      <c r="E374" s="1603" t="s">
        <v>706</v>
      </c>
      <c r="F374" s="1502"/>
      <c r="G374" s="1502"/>
      <c r="H374" s="1502"/>
      <c r="I374" s="1502"/>
      <c r="J374" s="1502"/>
      <c r="K374" s="1502"/>
      <c r="L374" s="1502"/>
      <c r="M374" s="1502"/>
    </row>
    <row r="375" spans="1:13" ht="43.5" customHeight="1">
      <c r="A375" s="1593"/>
      <c r="B375" s="1599"/>
      <c r="C375" s="1600"/>
      <c r="D375" s="1602">
        <v>1</v>
      </c>
      <c r="E375" s="1320" t="s">
        <v>1036</v>
      </c>
      <c r="F375" s="1502">
        <v>0</v>
      </c>
      <c r="G375" s="1502">
        <v>0</v>
      </c>
      <c r="H375" s="1502">
        <v>0</v>
      </c>
      <c r="I375" s="1502">
        <v>0</v>
      </c>
      <c r="J375" s="1502">
        <v>0</v>
      </c>
      <c r="K375" s="1502">
        <v>0</v>
      </c>
      <c r="L375" s="1502">
        <v>0</v>
      </c>
      <c r="M375" s="1502">
        <f>SUM(F375:L375)</f>
        <v>0</v>
      </c>
    </row>
    <row r="376" spans="1:13" ht="36" customHeight="1">
      <c r="A376" s="1616">
        <v>14</v>
      </c>
      <c r="B376" s="1607">
        <v>851</v>
      </c>
      <c r="C376" s="1606"/>
      <c r="D376" s="1608"/>
      <c r="E376" s="1608" t="s">
        <v>36</v>
      </c>
      <c r="F376" s="1609">
        <f aca="true" t="shared" si="68" ref="F376:L376">F377+F387</f>
        <v>0</v>
      </c>
      <c r="G376" s="1609">
        <f t="shared" si="68"/>
        <v>0</v>
      </c>
      <c r="H376" s="1609"/>
      <c r="I376" s="1609">
        <f t="shared" si="68"/>
        <v>0</v>
      </c>
      <c r="J376" s="1609"/>
      <c r="K376" s="1609">
        <f t="shared" si="68"/>
        <v>0</v>
      </c>
      <c r="L376" s="1609">
        <f t="shared" si="68"/>
        <v>250000</v>
      </c>
      <c r="M376" s="1592">
        <f>SUM(F376:L376)</f>
        <v>250000</v>
      </c>
    </row>
    <row r="377" spans="1:13" ht="36" customHeight="1">
      <c r="A377" s="1620"/>
      <c r="B377" s="1615">
        <v>85153</v>
      </c>
      <c r="C377" s="1595"/>
      <c r="D377" s="1596"/>
      <c r="E377" s="1597" t="s">
        <v>792</v>
      </c>
      <c r="F377" s="1598">
        <f aca="true" t="shared" si="69" ref="F377:L377">F378+F384</f>
        <v>0</v>
      </c>
      <c r="G377" s="1598">
        <f t="shared" si="69"/>
        <v>0</v>
      </c>
      <c r="H377" s="1598"/>
      <c r="I377" s="1598">
        <f t="shared" si="69"/>
        <v>0</v>
      </c>
      <c r="J377" s="1598"/>
      <c r="K377" s="1598">
        <f t="shared" si="69"/>
        <v>0</v>
      </c>
      <c r="L377" s="1598">
        <f t="shared" si="69"/>
        <v>22000</v>
      </c>
      <c r="M377" s="1598">
        <f>SUM(F377:L377)</f>
        <v>22000</v>
      </c>
    </row>
    <row r="378" spans="1:13" ht="27" customHeight="1">
      <c r="A378" s="1620"/>
      <c r="B378" s="1599"/>
      <c r="C378" s="1600" t="s">
        <v>602</v>
      </c>
      <c r="D378" s="1601"/>
      <c r="E378" s="1315" t="s">
        <v>1030</v>
      </c>
      <c r="F378" s="1316">
        <v>0</v>
      </c>
      <c r="G378" s="1316">
        <v>0</v>
      </c>
      <c r="H378" s="1316"/>
      <c r="I378" s="1316">
        <v>0</v>
      </c>
      <c r="J378" s="1316"/>
      <c r="K378" s="1316">
        <v>0</v>
      </c>
      <c r="L378" s="1316">
        <f>4000+18000</f>
        <v>22000</v>
      </c>
      <c r="M378" s="1502">
        <f>F378+G378+H378+I378+J378+K378+L378</f>
        <v>22000</v>
      </c>
    </row>
    <row r="379" spans="1:13" ht="18" customHeight="1">
      <c r="A379" s="1620"/>
      <c r="B379" s="1599"/>
      <c r="C379" s="1600"/>
      <c r="D379" s="1602"/>
      <c r="E379" s="1603" t="s">
        <v>706</v>
      </c>
      <c r="F379" s="1502"/>
      <c r="G379" s="1502"/>
      <c r="H379" s="1502"/>
      <c r="I379" s="1502"/>
      <c r="J379" s="1502"/>
      <c r="K379" s="1502"/>
      <c r="L379" s="1502"/>
      <c r="M379" s="1502"/>
    </row>
    <row r="380" spans="1:13" ht="27" customHeight="1">
      <c r="A380" s="1620"/>
      <c r="B380" s="1599"/>
      <c r="C380" s="1600"/>
      <c r="D380" s="1602">
        <v>1</v>
      </c>
      <c r="E380" s="1604" t="s">
        <v>1031</v>
      </c>
      <c r="F380" s="1502">
        <v>0</v>
      </c>
      <c r="G380" s="1502">
        <v>0</v>
      </c>
      <c r="H380" s="1502"/>
      <c r="I380" s="1502">
        <v>0</v>
      </c>
      <c r="J380" s="1502"/>
      <c r="K380" s="1502">
        <v>0</v>
      </c>
      <c r="L380" s="1502">
        <v>0</v>
      </c>
      <c r="M380" s="1502">
        <f>F380+G380+H380+I380+J380+K380+L380</f>
        <v>0</v>
      </c>
    </row>
    <row r="381" spans="1:13" ht="27" customHeight="1">
      <c r="A381" s="1620"/>
      <c r="B381" s="1599"/>
      <c r="C381" s="1600"/>
      <c r="D381" s="1602">
        <v>2</v>
      </c>
      <c r="E381" s="1320" t="s">
        <v>1032</v>
      </c>
      <c r="F381" s="1502">
        <v>0</v>
      </c>
      <c r="G381" s="1502">
        <v>0</v>
      </c>
      <c r="H381" s="1502"/>
      <c r="I381" s="1502">
        <v>0</v>
      </c>
      <c r="J381" s="1502"/>
      <c r="K381" s="1502">
        <v>0</v>
      </c>
      <c r="L381" s="1502">
        <v>0</v>
      </c>
      <c r="M381" s="1502">
        <f>F381+G381+H381+I381+J381+K381+L381</f>
        <v>0</v>
      </c>
    </row>
    <row r="382" spans="1:13" ht="27" customHeight="1">
      <c r="A382" s="1620"/>
      <c r="B382" s="1599"/>
      <c r="C382" s="1600"/>
      <c r="D382" s="1602">
        <v>3</v>
      </c>
      <c r="E382" s="1320" t="s">
        <v>1033</v>
      </c>
      <c r="F382" s="1502">
        <v>0</v>
      </c>
      <c r="G382" s="1502">
        <v>0</v>
      </c>
      <c r="H382" s="1502"/>
      <c r="I382" s="1502">
        <v>0</v>
      </c>
      <c r="J382" s="1502"/>
      <c r="K382" s="1502">
        <v>0</v>
      </c>
      <c r="L382" s="1502">
        <v>0</v>
      </c>
      <c r="M382" s="1502">
        <f>F382+G382+H382+I382+J382+K382+L382</f>
        <v>0</v>
      </c>
    </row>
    <row r="383" spans="1:13" ht="27" customHeight="1">
      <c r="A383" s="1620"/>
      <c r="B383" s="1599"/>
      <c r="C383" s="1600"/>
      <c r="D383" s="1602">
        <v>4</v>
      </c>
      <c r="E383" s="1320" t="s">
        <v>1034</v>
      </c>
      <c r="F383" s="1502">
        <v>0</v>
      </c>
      <c r="G383" s="1502">
        <v>0</v>
      </c>
      <c r="H383" s="1502"/>
      <c r="I383" s="1502">
        <v>0</v>
      </c>
      <c r="J383" s="1502"/>
      <c r="K383" s="1502">
        <v>0</v>
      </c>
      <c r="L383" s="1502">
        <v>0</v>
      </c>
      <c r="M383" s="1502">
        <f>F383+G383+H383+I383+J383+K383+L383</f>
        <v>0</v>
      </c>
    </row>
    <row r="384" spans="1:13" ht="27" customHeight="1">
      <c r="A384" s="1620"/>
      <c r="B384" s="1599"/>
      <c r="C384" s="1605" t="s">
        <v>121</v>
      </c>
      <c r="D384" s="1601"/>
      <c r="E384" s="1315" t="s">
        <v>1035</v>
      </c>
      <c r="F384" s="1316">
        <f aca="true" t="shared" si="70" ref="F384:L384">F386</f>
        <v>0</v>
      </c>
      <c r="G384" s="1316">
        <f t="shared" si="70"/>
        <v>0</v>
      </c>
      <c r="H384" s="1316"/>
      <c r="I384" s="1316">
        <f t="shared" si="70"/>
        <v>0</v>
      </c>
      <c r="J384" s="1316"/>
      <c r="K384" s="1316">
        <f t="shared" si="70"/>
        <v>0</v>
      </c>
      <c r="L384" s="1316">
        <f t="shared" si="70"/>
        <v>0</v>
      </c>
      <c r="M384" s="1316">
        <f>F384+G384+H384+I384+J384+K384+L384</f>
        <v>0</v>
      </c>
    </row>
    <row r="385" spans="1:13" ht="18" customHeight="1">
      <c r="A385" s="1620"/>
      <c r="B385" s="1599"/>
      <c r="C385" s="1600"/>
      <c r="D385" s="1602"/>
      <c r="E385" s="1603" t="s">
        <v>706</v>
      </c>
      <c r="F385" s="1502"/>
      <c r="G385" s="1502"/>
      <c r="H385" s="1502"/>
      <c r="I385" s="1502"/>
      <c r="J385" s="1502"/>
      <c r="K385" s="1502"/>
      <c r="L385" s="1502"/>
      <c r="M385" s="1502"/>
    </row>
    <row r="386" spans="1:13" ht="39.75" customHeight="1">
      <c r="A386" s="1593"/>
      <c r="B386" s="1599"/>
      <c r="C386" s="1600"/>
      <c r="D386" s="1602">
        <v>1</v>
      </c>
      <c r="E386" s="1320" t="s">
        <v>1036</v>
      </c>
      <c r="F386" s="1502">
        <v>0</v>
      </c>
      <c r="G386" s="1502">
        <v>0</v>
      </c>
      <c r="H386" s="1502"/>
      <c r="I386" s="1502">
        <v>0</v>
      </c>
      <c r="J386" s="1502"/>
      <c r="K386" s="1502">
        <v>0</v>
      </c>
      <c r="L386" s="1502">
        <v>0</v>
      </c>
      <c r="M386" s="1502">
        <f>SUM(F386:L386)</f>
        <v>0</v>
      </c>
    </row>
    <row r="387" spans="1:13" ht="36" customHeight="1">
      <c r="A387" s="1620"/>
      <c r="B387" s="1615">
        <v>85154</v>
      </c>
      <c r="C387" s="1595"/>
      <c r="D387" s="1596"/>
      <c r="E387" s="1597" t="s">
        <v>1051</v>
      </c>
      <c r="F387" s="1598">
        <f aca="true" t="shared" si="71" ref="F387:L387">F388+F394</f>
        <v>0</v>
      </c>
      <c r="G387" s="1598">
        <f t="shared" si="71"/>
        <v>0</v>
      </c>
      <c r="H387" s="1598"/>
      <c r="I387" s="1598">
        <f t="shared" si="71"/>
        <v>0</v>
      </c>
      <c r="J387" s="1598"/>
      <c r="K387" s="1598">
        <f t="shared" si="71"/>
        <v>0</v>
      </c>
      <c r="L387" s="1598">
        <f t="shared" si="71"/>
        <v>228000</v>
      </c>
      <c r="M387" s="1598">
        <f>SUM(F387:L387)</f>
        <v>228000</v>
      </c>
    </row>
    <row r="388" spans="1:13" ht="27" customHeight="1">
      <c r="A388" s="1620"/>
      <c r="B388" s="1599"/>
      <c r="C388" s="1600" t="s">
        <v>602</v>
      </c>
      <c r="D388" s="1601"/>
      <c r="E388" s="1315" t="s">
        <v>1030</v>
      </c>
      <c r="F388" s="1316">
        <v>0</v>
      </c>
      <c r="G388" s="1316">
        <v>0</v>
      </c>
      <c r="H388" s="1316"/>
      <c r="I388" s="1316">
        <v>0</v>
      </c>
      <c r="J388" s="1316"/>
      <c r="K388" s="1316">
        <f>K391</f>
        <v>0</v>
      </c>
      <c r="L388" s="1316">
        <f>26500+3000+1000+1000+68000+4000+1000+25000+86000+10000+1000+1500</f>
        <v>228000</v>
      </c>
      <c r="M388" s="1502">
        <f>F388+G388+H388+I388+J388+K388+L388</f>
        <v>228000</v>
      </c>
    </row>
    <row r="389" spans="1:13" ht="18" customHeight="1">
      <c r="A389" s="1620"/>
      <c r="B389" s="1599"/>
      <c r="C389" s="1600"/>
      <c r="D389" s="1602"/>
      <c r="E389" s="1603" t="s">
        <v>706</v>
      </c>
      <c r="F389" s="1502"/>
      <c r="G389" s="1502"/>
      <c r="H389" s="1502"/>
      <c r="I389" s="1502"/>
      <c r="J389" s="1502"/>
      <c r="K389" s="1502"/>
      <c r="L389" s="1502"/>
      <c r="M389" s="1502"/>
    </row>
    <row r="390" spans="1:13" ht="27" customHeight="1">
      <c r="A390" s="1620"/>
      <c r="B390" s="1599"/>
      <c r="C390" s="1600"/>
      <c r="D390" s="1602">
        <v>1</v>
      </c>
      <c r="E390" s="1604" t="s">
        <v>1031</v>
      </c>
      <c r="F390" s="1502">
        <v>0</v>
      </c>
      <c r="G390" s="1502">
        <v>0</v>
      </c>
      <c r="H390" s="1502"/>
      <c r="I390" s="1502">
        <v>0</v>
      </c>
      <c r="J390" s="1502"/>
      <c r="K390" s="1502">
        <v>0</v>
      </c>
      <c r="L390" s="1502">
        <f>26500+5000</f>
        <v>31500</v>
      </c>
      <c r="M390" s="1502">
        <f>F390+G390+H390+I390+J390+K390+L390</f>
        <v>31500</v>
      </c>
    </row>
    <row r="391" spans="1:13" ht="27" customHeight="1">
      <c r="A391" s="1620"/>
      <c r="B391" s="1599"/>
      <c r="C391" s="1600"/>
      <c r="D391" s="1602">
        <v>2</v>
      </c>
      <c r="E391" s="1320" t="s">
        <v>1032</v>
      </c>
      <c r="F391" s="1502">
        <v>0</v>
      </c>
      <c r="G391" s="1502">
        <v>0</v>
      </c>
      <c r="H391" s="1502"/>
      <c r="I391" s="1502">
        <v>0</v>
      </c>
      <c r="J391" s="1502"/>
      <c r="K391" s="1502">
        <v>0</v>
      </c>
      <c r="L391" s="1502">
        <v>86000</v>
      </c>
      <c r="M391" s="1502">
        <f>F391+G391+H391+I391+J391+K391+L391</f>
        <v>86000</v>
      </c>
    </row>
    <row r="392" spans="1:13" ht="27" customHeight="1">
      <c r="A392" s="1620"/>
      <c r="B392" s="1599"/>
      <c r="C392" s="1600"/>
      <c r="D392" s="1602">
        <v>3</v>
      </c>
      <c r="E392" s="1320" t="s">
        <v>1033</v>
      </c>
      <c r="F392" s="1502">
        <v>0</v>
      </c>
      <c r="G392" s="1502">
        <v>0</v>
      </c>
      <c r="H392" s="1502"/>
      <c r="I392" s="1502">
        <v>0</v>
      </c>
      <c r="J392" s="1502"/>
      <c r="K392" s="1502">
        <v>0</v>
      </c>
      <c r="L392" s="1502">
        <v>0</v>
      </c>
      <c r="M392" s="1502">
        <f>F392+G392+H392+I392+J392+K392+L392</f>
        <v>0</v>
      </c>
    </row>
    <row r="393" spans="1:13" ht="27" customHeight="1">
      <c r="A393" s="1620"/>
      <c r="B393" s="1599"/>
      <c r="C393" s="1600"/>
      <c r="D393" s="1602">
        <v>4</v>
      </c>
      <c r="E393" s="1320" t="s">
        <v>1034</v>
      </c>
      <c r="F393" s="1502">
        <v>0</v>
      </c>
      <c r="G393" s="1502">
        <v>0</v>
      </c>
      <c r="H393" s="1502"/>
      <c r="I393" s="1502">
        <v>0</v>
      </c>
      <c r="J393" s="1502"/>
      <c r="K393" s="1502">
        <v>0</v>
      </c>
      <c r="L393" s="1502">
        <v>0</v>
      </c>
      <c r="M393" s="1502">
        <f>F393+G393+H393+I393+J393+K393+L393</f>
        <v>0</v>
      </c>
    </row>
    <row r="394" spans="1:13" ht="27" customHeight="1">
      <c r="A394" s="1620"/>
      <c r="B394" s="1599"/>
      <c r="C394" s="1605" t="s">
        <v>121</v>
      </c>
      <c r="D394" s="1601"/>
      <c r="E394" s="1315" t="s">
        <v>1035</v>
      </c>
      <c r="F394" s="1316">
        <f>F396</f>
        <v>0</v>
      </c>
      <c r="G394" s="1316">
        <f>G396</f>
        <v>0</v>
      </c>
      <c r="H394" s="1316"/>
      <c r="I394" s="1316">
        <f>I396</f>
        <v>0</v>
      </c>
      <c r="J394" s="1316"/>
      <c r="K394" s="1316">
        <f>K396</f>
        <v>0</v>
      </c>
      <c r="L394" s="1316">
        <v>0</v>
      </c>
      <c r="M394" s="1316">
        <f>F394+G394+H394+I394+J394+K394+L394</f>
        <v>0</v>
      </c>
    </row>
    <row r="395" spans="1:13" ht="18" customHeight="1">
      <c r="A395" s="1620"/>
      <c r="B395" s="1599"/>
      <c r="C395" s="1600"/>
      <c r="D395" s="1602"/>
      <c r="E395" s="1603" t="s">
        <v>706</v>
      </c>
      <c r="F395" s="1502"/>
      <c r="G395" s="1502"/>
      <c r="H395" s="1502"/>
      <c r="I395" s="1502"/>
      <c r="J395" s="1502"/>
      <c r="K395" s="1502"/>
      <c r="L395" s="1502"/>
      <c r="M395" s="1502"/>
    </row>
    <row r="396" spans="1:13" ht="39.75" customHeight="1">
      <c r="A396" s="1593"/>
      <c r="B396" s="1599"/>
      <c r="C396" s="1600"/>
      <c r="D396" s="1602">
        <v>1</v>
      </c>
      <c r="E396" s="1320" t="s">
        <v>1036</v>
      </c>
      <c r="F396" s="1502">
        <v>0</v>
      </c>
      <c r="G396" s="1502">
        <v>0</v>
      </c>
      <c r="H396" s="1502"/>
      <c r="I396" s="1502">
        <v>0</v>
      </c>
      <c r="J396" s="1502"/>
      <c r="K396" s="1502">
        <v>0</v>
      </c>
      <c r="L396" s="1502">
        <v>0</v>
      </c>
      <c r="M396" s="1502">
        <f>SUM(F396:L396)</f>
        <v>0</v>
      </c>
    </row>
    <row r="397" spans="1:13" ht="36" customHeight="1">
      <c r="A397" s="1616">
        <v>15</v>
      </c>
      <c r="B397" s="1607">
        <v>852</v>
      </c>
      <c r="C397" s="1606"/>
      <c r="D397" s="1608"/>
      <c r="E397" s="1621" t="s">
        <v>35</v>
      </c>
      <c r="F397" s="1609">
        <f aca="true" t="shared" si="72" ref="F397:L397">F398+F408+F418+F428+F438+F448+F458</f>
        <v>6424000</v>
      </c>
      <c r="G397" s="1609">
        <f>G398+G408+G418+G428+G438+G448+G458</f>
        <v>0</v>
      </c>
      <c r="H397" s="1609">
        <f>H398+H408+H418+H428+H438+H448+H458</f>
        <v>0</v>
      </c>
      <c r="I397" s="1609">
        <f>I398+I408+I418+I428+I438+I448+I458</f>
        <v>0</v>
      </c>
      <c r="J397" s="1609">
        <f>J398+J408+J418+J428+J438+J448+J458</f>
        <v>0</v>
      </c>
      <c r="K397" s="1609">
        <f t="shared" si="72"/>
        <v>0</v>
      </c>
      <c r="L397" s="1609">
        <f t="shared" si="72"/>
        <v>3056000</v>
      </c>
      <c r="M397" s="1592">
        <f>SUM(F397:L397)</f>
        <v>9480000</v>
      </c>
    </row>
    <row r="398" spans="1:13" ht="36" customHeight="1">
      <c r="A398" s="1622"/>
      <c r="B398" s="1615">
        <v>85203</v>
      </c>
      <c r="C398" s="1595"/>
      <c r="D398" s="1596"/>
      <c r="E398" s="1597" t="s">
        <v>797</v>
      </c>
      <c r="F398" s="1598">
        <f aca="true" t="shared" si="73" ref="F398:L398">F399+F405</f>
        <v>716000</v>
      </c>
      <c r="G398" s="1598">
        <f>G399+G405</f>
        <v>0</v>
      </c>
      <c r="H398" s="1598">
        <f>H399+H405</f>
        <v>0</v>
      </c>
      <c r="I398" s="1598">
        <f>I399+I405</f>
        <v>0</v>
      </c>
      <c r="J398" s="1598">
        <f>J399+J405</f>
        <v>0</v>
      </c>
      <c r="K398" s="1598">
        <f t="shared" si="73"/>
        <v>0</v>
      </c>
      <c r="L398" s="1598">
        <f t="shared" si="73"/>
        <v>0</v>
      </c>
      <c r="M398" s="1598">
        <f>SUM(F398:L398)</f>
        <v>716000</v>
      </c>
    </row>
    <row r="399" spans="1:13" ht="24" customHeight="1">
      <c r="A399" s="1620"/>
      <c r="B399" s="1599"/>
      <c r="C399" s="1600" t="s">
        <v>602</v>
      </c>
      <c r="D399" s="1601"/>
      <c r="E399" s="1315" t="s">
        <v>1030</v>
      </c>
      <c r="F399" s="1316">
        <v>716000</v>
      </c>
      <c r="G399" s="1316">
        <v>0</v>
      </c>
      <c r="H399" s="1316">
        <v>0</v>
      </c>
      <c r="I399" s="1316">
        <v>0</v>
      </c>
      <c r="J399" s="1316">
        <v>0</v>
      </c>
      <c r="K399" s="1316">
        <v>0</v>
      </c>
      <c r="L399" s="1316">
        <v>0</v>
      </c>
      <c r="M399" s="1502">
        <f>F399+G399+H399+I399+J399+K399+L399</f>
        <v>716000</v>
      </c>
    </row>
    <row r="400" spans="1:13" ht="17.25" customHeight="1">
      <c r="A400" s="1620"/>
      <c r="B400" s="1599"/>
      <c r="C400" s="1600"/>
      <c r="D400" s="1602"/>
      <c r="E400" s="1603" t="s">
        <v>706</v>
      </c>
      <c r="F400" s="1502"/>
      <c r="G400" s="1502"/>
      <c r="H400" s="1502"/>
      <c r="I400" s="1502"/>
      <c r="J400" s="1502"/>
      <c r="K400" s="1502"/>
      <c r="L400" s="1502"/>
      <c r="M400" s="1502"/>
    </row>
    <row r="401" spans="1:13" ht="24" customHeight="1">
      <c r="A401" s="1620"/>
      <c r="B401" s="1599"/>
      <c r="C401" s="1600"/>
      <c r="D401" s="1602">
        <v>1</v>
      </c>
      <c r="E401" s="1604" t="s">
        <v>1031</v>
      </c>
      <c r="F401" s="1502">
        <v>531600</v>
      </c>
      <c r="G401" s="1502">
        <v>0</v>
      </c>
      <c r="H401" s="1502">
        <v>0</v>
      </c>
      <c r="I401" s="1502">
        <v>0</v>
      </c>
      <c r="J401" s="1502">
        <v>0</v>
      </c>
      <c r="K401" s="1502">
        <v>0</v>
      </c>
      <c r="L401" s="1502">
        <v>0</v>
      </c>
      <c r="M401" s="1502">
        <f>F401+G401+H401+I401+J401+K401+L401</f>
        <v>531600</v>
      </c>
    </row>
    <row r="402" spans="1:13" ht="24" customHeight="1">
      <c r="A402" s="1620"/>
      <c r="B402" s="1599"/>
      <c r="C402" s="1600"/>
      <c r="D402" s="1602">
        <v>2</v>
      </c>
      <c r="E402" s="1320" t="s">
        <v>1032</v>
      </c>
      <c r="F402" s="1502">
        <v>0</v>
      </c>
      <c r="G402" s="1502">
        <v>0</v>
      </c>
      <c r="H402" s="1502">
        <v>0</v>
      </c>
      <c r="I402" s="1502">
        <v>0</v>
      </c>
      <c r="J402" s="1502">
        <v>0</v>
      </c>
      <c r="K402" s="1502">
        <v>0</v>
      </c>
      <c r="L402" s="1502">
        <v>0</v>
      </c>
      <c r="M402" s="1502">
        <f>F402+G402+H402+I402+J402+K402+L402</f>
        <v>0</v>
      </c>
    </row>
    <row r="403" spans="1:13" ht="24" customHeight="1">
      <c r="A403" s="1620"/>
      <c r="B403" s="1599"/>
      <c r="C403" s="1600"/>
      <c r="D403" s="1602">
        <v>3</v>
      </c>
      <c r="E403" s="1320" t="s">
        <v>1033</v>
      </c>
      <c r="F403" s="1502">
        <v>0</v>
      </c>
      <c r="G403" s="1502">
        <v>0</v>
      </c>
      <c r="H403" s="1502">
        <v>0</v>
      </c>
      <c r="I403" s="1502">
        <v>0</v>
      </c>
      <c r="J403" s="1502">
        <v>0</v>
      </c>
      <c r="K403" s="1502">
        <v>0</v>
      </c>
      <c r="L403" s="1502">
        <v>0</v>
      </c>
      <c r="M403" s="1502">
        <f>F403+G403+H403+I403+J403+K403+L403</f>
        <v>0</v>
      </c>
    </row>
    <row r="404" spans="1:13" ht="24" customHeight="1">
      <c r="A404" s="1620"/>
      <c r="B404" s="1599"/>
      <c r="C404" s="1600"/>
      <c r="D404" s="1602">
        <v>4</v>
      </c>
      <c r="E404" s="1320" t="s">
        <v>1034</v>
      </c>
      <c r="F404" s="1502">
        <v>0</v>
      </c>
      <c r="G404" s="1502">
        <v>0</v>
      </c>
      <c r="H404" s="1502">
        <v>0</v>
      </c>
      <c r="I404" s="1502">
        <v>0</v>
      </c>
      <c r="J404" s="1502">
        <v>0</v>
      </c>
      <c r="K404" s="1502">
        <v>0</v>
      </c>
      <c r="L404" s="1502">
        <v>0</v>
      </c>
      <c r="M404" s="1502">
        <f>F404+G404+H404+I404+J404+K404+L404</f>
        <v>0</v>
      </c>
    </row>
    <row r="405" spans="1:13" ht="24" customHeight="1">
      <c r="A405" s="1620"/>
      <c r="B405" s="1599"/>
      <c r="C405" s="1605" t="s">
        <v>121</v>
      </c>
      <c r="D405" s="1601"/>
      <c r="E405" s="1315" t="s">
        <v>1035</v>
      </c>
      <c r="F405" s="1316">
        <f aca="true" t="shared" si="74" ref="F405:L405">F407</f>
        <v>0</v>
      </c>
      <c r="G405" s="1316">
        <f>G407</f>
        <v>0</v>
      </c>
      <c r="H405" s="1316">
        <f>H407</f>
        <v>0</v>
      </c>
      <c r="I405" s="1316">
        <f>I407</f>
        <v>0</v>
      </c>
      <c r="J405" s="1316">
        <f>J407</f>
        <v>0</v>
      </c>
      <c r="K405" s="1316">
        <f t="shared" si="74"/>
        <v>0</v>
      </c>
      <c r="L405" s="1316">
        <f t="shared" si="74"/>
        <v>0</v>
      </c>
      <c r="M405" s="1316">
        <f>F405+G405+H405+I405+J405+K405+L405</f>
        <v>0</v>
      </c>
    </row>
    <row r="406" spans="1:13" ht="18" customHeight="1">
      <c r="A406" s="1620"/>
      <c r="B406" s="1599"/>
      <c r="C406" s="1600"/>
      <c r="D406" s="1602"/>
      <c r="E406" s="1603" t="s">
        <v>706</v>
      </c>
      <c r="F406" s="1502"/>
      <c r="G406" s="1502"/>
      <c r="H406" s="1502"/>
      <c r="I406" s="1502"/>
      <c r="J406" s="1502"/>
      <c r="K406" s="1502"/>
      <c r="L406" s="1502"/>
      <c r="M406" s="1502"/>
    </row>
    <row r="407" spans="1:13" ht="39" customHeight="1">
      <c r="A407" s="1620"/>
      <c r="B407" s="1599"/>
      <c r="C407" s="1600"/>
      <c r="D407" s="1602">
        <v>1</v>
      </c>
      <c r="E407" s="1320" t="s">
        <v>1036</v>
      </c>
      <c r="F407" s="1502">
        <v>0</v>
      </c>
      <c r="G407" s="1502">
        <v>0</v>
      </c>
      <c r="H407" s="1502">
        <v>0</v>
      </c>
      <c r="I407" s="1502">
        <v>0</v>
      </c>
      <c r="J407" s="1502">
        <v>0</v>
      </c>
      <c r="K407" s="1502">
        <v>0</v>
      </c>
      <c r="L407" s="1502">
        <v>0</v>
      </c>
      <c r="M407" s="1502">
        <f>SUM(F407:L407)</f>
        <v>0</v>
      </c>
    </row>
    <row r="408" spans="1:13" ht="67.5" customHeight="1">
      <c r="A408" s="1622"/>
      <c r="B408" s="1615">
        <v>85212</v>
      </c>
      <c r="C408" s="1595"/>
      <c r="D408" s="1596"/>
      <c r="E408" s="1623" t="s">
        <v>799</v>
      </c>
      <c r="F408" s="1598">
        <f aca="true" t="shared" si="75" ref="F408:L408">F409+F415</f>
        <v>5568000</v>
      </c>
      <c r="G408" s="1598">
        <f>G409+G415</f>
        <v>0</v>
      </c>
      <c r="H408" s="1598">
        <f>H409+H415</f>
        <v>0</v>
      </c>
      <c r="I408" s="1598">
        <f>I409+I415</f>
        <v>0</v>
      </c>
      <c r="J408" s="1598">
        <f>J409+J415</f>
        <v>0</v>
      </c>
      <c r="K408" s="1598">
        <f t="shared" si="75"/>
        <v>0</v>
      </c>
      <c r="L408" s="1598">
        <f t="shared" si="75"/>
        <v>0</v>
      </c>
      <c r="M408" s="1598">
        <f>SUM(F408:L408)</f>
        <v>5568000</v>
      </c>
    </row>
    <row r="409" spans="1:13" ht="24" customHeight="1">
      <c r="A409" s="1620"/>
      <c r="B409" s="1599"/>
      <c r="C409" s="1600" t="s">
        <v>602</v>
      </c>
      <c r="D409" s="1601"/>
      <c r="E409" s="1315" t="s">
        <v>1030</v>
      </c>
      <c r="F409" s="1316">
        <v>5568000</v>
      </c>
      <c r="G409" s="1316">
        <v>0</v>
      </c>
      <c r="H409" s="1316">
        <v>0</v>
      </c>
      <c r="I409" s="1316">
        <v>0</v>
      </c>
      <c r="J409" s="1316">
        <v>0</v>
      </c>
      <c r="K409" s="1316">
        <v>0</v>
      </c>
      <c r="L409" s="1316">
        <v>0</v>
      </c>
      <c r="M409" s="1502">
        <f>F409+G409+H409+I409+J409+K409+L409</f>
        <v>5568000</v>
      </c>
    </row>
    <row r="410" spans="1:13" ht="17.25" customHeight="1">
      <c r="A410" s="1620"/>
      <c r="B410" s="1599"/>
      <c r="C410" s="1600"/>
      <c r="D410" s="1602"/>
      <c r="E410" s="1603" t="s">
        <v>706</v>
      </c>
      <c r="F410" s="1502"/>
      <c r="G410" s="1502"/>
      <c r="H410" s="1502"/>
      <c r="I410" s="1502"/>
      <c r="J410" s="1502"/>
      <c r="K410" s="1502"/>
      <c r="L410" s="1502"/>
      <c r="M410" s="1502"/>
    </row>
    <row r="411" spans="1:13" ht="24" customHeight="1">
      <c r="A411" s="1620"/>
      <c r="B411" s="1599"/>
      <c r="C411" s="1600"/>
      <c r="D411" s="1602">
        <v>1</v>
      </c>
      <c r="E411" s="1604" t="s">
        <v>1031</v>
      </c>
      <c r="F411" s="1502">
        <v>105000</v>
      </c>
      <c r="G411" s="1502">
        <v>0</v>
      </c>
      <c r="H411" s="1502">
        <v>0</v>
      </c>
      <c r="I411" s="1502">
        <v>0</v>
      </c>
      <c r="J411" s="1502">
        <v>0</v>
      </c>
      <c r="K411" s="1502">
        <v>0</v>
      </c>
      <c r="L411" s="1502">
        <v>0</v>
      </c>
      <c r="M411" s="1502">
        <f>F411+G411+H411+I411+J411+K411+L411</f>
        <v>105000</v>
      </c>
    </row>
    <row r="412" spans="1:13" ht="24" customHeight="1">
      <c r="A412" s="1620"/>
      <c r="B412" s="1599"/>
      <c r="C412" s="1600"/>
      <c r="D412" s="1602">
        <v>2</v>
      </c>
      <c r="E412" s="1320" t="s">
        <v>1032</v>
      </c>
      <c r="F412" s="1502">
        <v>0</v>
      </c>
      <c r="G412" s="1502">
        <v>0</v>
      </c>
      <c r="H412" s="1502">
        <v>0</v>
      </c>
      <c r="I412" s="1502">
        <v>0</v>
      </c>
      <c r="J412" s="1502">
        <v>0</v>
      </c>
      <c r="K412" s="1502">
        <v>0</v>
      </c>
      <c r="L412" s="1502">
        <v>0</v>
      </c>
      <c r="M412" s="1502">
        <f>F412+G412+H412+I412+J412+K412+L412</f>
        <v>0</v>
      </c>
    </row>
    <row r="413" spans="1:13" ht="24" customHeight="1">
      <c r="A413" s="1620"/>
      <c r="B413" s="1599"/>
      <c r="C413" s="1600"/>
      <c r="D413" s="1602">
        <v>3</v>
      </c>
      <c r="E413" s="1320" t="s">
        <v>1033</v>
      </c>
      <c r="F413" s="1502">
        <v>0</v>
      </c>
      <c r="G413" s="1502">
        <v>0</v>
      </c>
      <c r="H413" s="1502">
        <v>0</v>
      </c>
      <c r="I413" s="1502">
        <v>0</v>
      </c>
      <c r="J413" s="1502">
        <v>0</v>
      </c>
      <c r="K413" s="1502">
        <v>0</v>
      </c>
      <c r="L413" s="1502">
        <v>0</v>
      </c>
      <c r="M413" s="1502">
        <f>F413+G413+H413+I413+J413+K413+L413</f>
        <v>0</v>
      </c>
    </row>
    <row r="414" spans="1:13" ht="24" customHeight="1">
      <c r="A414" s="1620"/>
      <c r="B414" s="1599"/>
      <c r="C414" s="1600"/>
      <c r="D414" s="1602">
        <v>4</v>
      </c>
      <c r="E414" s="1320" t="s">
        <v>1034</v>
      </c>
      <c r="F414" s="1502">
        <v>0</v>
      </c>
      <c r="G414" s="1502">
        <v>0</v>
      </c>
      <c r="H414" s="1502">
        <v>0</v>
      </c>
      <c r="I414" s="1502">
        <v>0</v>
      </c>
      <c r="J414" s="1502">
        <v>0</v>
      </c>
      <c r="K414" s="1502">
        <v>0</v>
      </c>
      <c r="L414" s="1502">
        <v>0</v>
      </c>
      <c r="M414" s="1502">
        <f>F414+G414+H414+I414+J414+K414+L414</f>
        <v>0</v>
      </c>
    </row>
    <row r="415" spans="1:13" ht="24" customHeight="1">
      <c r="A415" s="1620"/>
      <c r="B415" s="1599"/>
      <c r="C415" s="1605" t="s">
        <v>121</v>
      </c>
      <c r="D415" s="1601"/>
      <c r="E415" s="1315" t="s">
        <v>1035</v>
      </c>
      <c r="F415" s="1316">
        <f>F417</f>
        <v>0</v>
      </c>
      <c r="G415" s="1316">
        <v>0</v>
      </c>
      <c r="H415" s="1316">
        <v>0</v>
      </c>
      <c r="I415" s="1316">
        <v>0</v>
      </c>
      <c r="J415" s="1316">
        <v>0</v>
      </c>
      <c r="K415" s="1316">
        <v>0</v>
      </c>
      <c r="L415" s="1316">
        <v>0</v>
      </c>
      <c r="M415" s="1316">
        <f>F415+G415+H415+I415+J415+K415+L415</f>
        <v>0</v>
      </c>
    </row>
    <row r="416" spans="1:13" ht="18" customHeight="1">
      <c r="A416" s="1620"/>
      <c r="B416" s="1599"/>
      <c r="C416" s="1600"/>
      <c r="D416" s="1602"/>
      <c r="E416" s="1603" t="s">
        <v>706</v>
      </c>
      <c r="F416" s="1502"/>
      <c r="G416" s="1502"/>
      <c r="H416" s="1502"/>
      <c r="I416" s="1502"/>
      <c r="J416" s="1502"/>
      <c r="K416" s="1502"/>
      <c r="L416" s="1502"/>
      <c r="M416" s="1502"/>
    </row>
    <row r="417" spans="1:13" ht="45.75" customHeight="1">
      <c r="A417" s="1620"/>
      <c r="B417" s="1599"/>
      <c r="C417" s="1600"/>
      <c r="D417" s="1602">
        <v>1</v>
      </c>
      <c r="E417" s="1320" t="s">
        <v>1036</v>
      </c>
      <c r="F417" s="1502">
        <v>0</v>
      </c>
      <c r="G417" s="1502">
        <v>0</v>
      </c>
      <c r="H417" s="1502">
        <v>0</v>
      </c>
      <c r="I417" s="1502">
        <v>0</v>
      </c>
      <c r="J417" s="1502">
        <v>0</v>
      </c>
      <c r="K417" s="1502">
        <v>0</v>
      </c>
      <c r="L417" s="1502">
        <v>0</v>
      </c>
      <c r="M417" s="1502">
        <f>SUM(F417:L417)</f>
        <v>0</v>
      </c>
    </row>
    <row r="418" spans="1:13" ht="81" customHeight="1">
      <c r="A418" s="1622"/>
      <c r="B418" s="1624">
        <v>85213</v>
      </c>
      <c r="C418" s="1595"/>
      <c r="D418" s="1596"/>
      <c r="E418" s="1625" t="s">
        <v>78</v>
      </c>
      <c r="F418" s="1598">
        <f aca="true" t="shared" si="76" ref="F418:L418">F419+F425</f>
        <v>18000</v>
      </c>
      <c r="G418" s="1598">
        <f>G419+G425</f>
        <v>0</v>
      </c>
      <c r="H418" s="1598">
        <f>H419+H425</f>
        <v>0</v>
      </c>
      <c r="I418" s="1598">
        <f>I419+I425</f>
        <v>0</v>
      </c>
      <c r="J418" s="1598">
        <f>J419+J425</f>
        <v>0</v>
      </c>
      <c r="K418" s="1598">
        <f t="shared" si="76"/>
        <v>0</v>
      </c>
      <c r="L418" s="1598">
        <f t="shared" si="76"/>
        <v>0</v>
      </c>
      <c r="M418" s="1598">
        <f>SUM(F418:L418)</f>
        <v>18000</v>
      </c>
    </row>
    <row r="419" spans="1:13" ht="24" customHeight="1">
      <c r="A419" s="1620"/>
      <c r="B419" s="1599"/>
      <c r="C419" s="1600" t="s">
        <v>602</v>
      </c>
      <c r="D419" s="1601"/>
      <c r="E419" s="1315" t="s">
        <v>1030</v>
      </c>
      <c r="F419" s="1316">
        <v>18000</v>
      </c>
      <c r="G419" s="1316">
        <v>0</v>
      </c>
      <c r="H419" s="1316">
        <v>0</v>
      </c>
      <c r="I419" s="1316">
        <v>0</v>
      </c>
      <c r="J419" s="1316">
        <v>0</v>
      </c>
      <c r="K419" s="1316">
        <v>0</v>
      </c>
      <c r="L419" s="1316">
        <v>0</v>
      </c>
      <c r="M419" s="1502">
        <f>F419+G419+H419+I419+J419+K419+L419</f>
        <v>18000</v>
      </c>
    </row>
    <row r="420" spans="1:13" ht="17.25" customHeight="1">
      <c r="A420" s="1620"/>
      <c r="B420" s="1599"/>
      <c r="C420" s="1600"/>
      <c r="D420" s="1602"/>
      <c r="E420" s="1603" t="s">
        <v>706</v>
      </c>
      <c r="F420" s="1502"/>
      <c r="G420" s="1502"/>
      <c r="H420" s="1502"/>
      <c r="I420" s="1502"/>
      <c r="J420" s="1502"/>
      <c r="K420" s="1502"/>
      <c r="L420" s="1502"/>
      <c r="M420" s="1502"/>
    </row>
    <row r="421" spans="1:13" ht="24" customHeight="1">
      <c r="A421" s="1620"/>
      <c r="B421" s="1599"/>
      <c r="C421" s="1600"/>
      <c r="D421" s="1602">
        <v>1</v>
      </c>
      <c r="E421" s="1604" t="s">
        <v>1031</v>
      </c>
      <c r="F421" s="1502">
        <v>0</v>
      </c>
      <c r="G421" s="1502">
        <v>0</v>
      </c>
      <c r="H421" s="1502">
        <v>0</v>
      </c>
      <c r="I421" s="1502">
        <v>0</v>
      </c>
      <c r="J421" s="1502">
        <v>0</v>
      </c>
      <c r="K421" s="1502">
        <v>0</v>
      </c>
      <c r="L421" s="1502">
        <v>0</v>
      </c>
      <c r="M421" s="1502">
        <f>F421+G421+H421+I421+J421+K421+L421</f>
        <v>0</v>
      </c>
    </row>
    <row r="422" spans="1:13" ht="24" customHeight="1">
      <c r="A422" s="1620"/>
      <c r="B422" s="1599"/>
      <c r="C422" s="1600"/>
      <c r="D422" s="1602">
        <v>2</v>
      </c>
      <c r="E422" s="1320" t="s">
        <v>1032</v>
      </c>
      <c r="F422" s="1502">
        <v>0</v>
      </c>
      <c r="G422" s="1502">
        <v>0</v>
      </c>
      <c r="H422" s="1502">
        <v>0</v>
      </c>
      <c r="I422" s="1502">
        <v>0</v>
      </c>
      <c r="J422" s="1502">
        <v>0</v>
      </c>
      <c r="K422" s="1502">
        <v>0</v>
      </c>
      <c r="L422" s="1502">
        <v>0</v>
      </c>
      <c r="M422" s="1502">
        <f>F422+G422+H422+I422+J422+K422+L422</f>
        <v>0</v>
      </c>
    </row>
    <row r="423" spans="1:13" ht="24" customHeight="1">
      <c r="A423" s="1620"/>
      <c r="B423" s="1599"/>
      <c r="C423" s="1600"/>
      <c r="D423" s="1602">
        <v>3</v>
      </c>
      <c r="E423" s="1320" t="s">
        <v>1033</v>
      </c>
      <c r="F423" s="1502">
        <v>0</v>
      </c>
      <c r="G423" s="1502">
        <v>0</v>
      </c>
      <c r="H423" s="1502">
        <v>0</v>
      </c>
      <c r="I423" s="1502">
        <v>0</v>
      </c>
      <c r="J423" s="1502">
        <v>0</v>
      </c>
      <c r="K423" s="1502">
        <v>0</v>
      </c>
      <c r="L423" s="1502">
        <v>0</v>
      </c>
      <c r="M423" s="1502">
        <f>F423+G423+H423+I423+J423+K423+L423</f>
        <v>0</v>
      </c>
    </row>
    <row r="424" spans="1:13" ht="24" customHeight="1">
      <c r="A424" s="1620"/>
      <c r="B424" s="1599"/>
      <c r="C424" s="1600"/>
      <c r="D424" s="1602">
        <v>4</v>
      </c>
      <c r="E424" s="1320" t="s">
        <v>1034</v>
      </c>
      <c r="F424" s="1502">
        <v>0</v>
      </c>
      <c r="G424" s="1502">
        <v>0</v>
      </c>
      <c r="H424" s="1502">
        <v>0</v>
      </c>
      <c r="I424" s="1502">
        <v>0</v>
      </c>
      <c r="J424" s="1502">
        <v>0</v>
      </c>
      <c r="K424" s="1502">
        <v>0</v>
      </c>
      <c r="L424" s="1502">
        <v>0</v>
      </c>
      <c r="M424" s="1502">
        <f>F424+G424+H424+I424+J424+K424+L424</f>
        <v>0</v>
      </c>
    </row>
    <row r="425" spans="1:13" ht="24" customHeight="1">
      <c r="A425" s="1620"/>
      <c r="B425" s="1599"/>
      <c r="C425" s="1605" t="s">
        <v>121</v>
      </c>
      <c r="D425" s="1601"/>
      <c r="E425" s="1315" t="s">
        <v>1035</v>
      </c>
      <c r="F425" s="1316">
        <f>F427</f>
        <v>0</v>
      </c>
      <c r="G425" s="1316">
        <v>0</v>
      </c>
      <c r="H425" s="1316">
        <v>0</v>
      </c>
      <c r="I425" s="1316">
        <v>0</v>
      </c>
      <c r="J425" s="1316">
        <v>0</v>
      </c>
      <c r="K425" s="1316">
        <v>0</v>
      </c>
      <c r="L425" s="1316">
        <v>0</v>
      </c>
      <c r="M425" s="1316">
        <f>F425+G425+H425+I425+J425+K425+L425</f>
        <v>0</v>
      </c>
    </row>
    <row r="426" spans="1:13" ht="18" customHeight="1">
      <c r="A426" s="1620"/>
      <c r="B426" s="1599"/>
      <c r="C426" s="1600"/>
      <c r="D426" s="1602"/>
      <c r="E426" s="1603" t="s">
        <v>706</v>
      </c>
      <c r="F426" s="1502"/>
      <c r="G426" s="1502"/>
      <c r="H426" s="1502"/>
      <c r="I426" s="1502"/>
      <c r="J426" s="1502"/>
      <c r="K426" s="1502"/>
      <c r="L426" s="1502"/>
      <c r="M426" s="1502"/>
    </row>
    <row r="427" spans="1:13" ht="39" customHeight="1">
      <c r="A427" s="1620"/>
      <c r="B427" s="1599"/>
      <c r="C427" s="1600"/>
      <c r="D427" s="1602">
        <v>1</v>
      </c>
      <c r="E427" s="1320" t="s">
        <v>1036</v>
      </c>
      <c r="F427" s="1502">
        <v>0</v>
      </c>
      <c r="G427" s="1502">
        <v>0</v>
      </c>
      <c r="H427" s="1502">
        <v>0</v>
      </c>
      <c r="I427" s="1502">
        <v>0</v>
      </c>
      <c r="J427" s="1502">
        <v>0</v>
      </c>
      <c r="K427" s="1502">
        <v>0</v>
      </c>
      <c r="L427" s="1502">
        <v>0</v>
      </c>
      <c r="M427" s="1502">
        <f>SUM(F427:L427)</f>
        <v>0</v>
      </c>
    </row>
    <row r="428" spans="1:13" ht="50.25" customHeight="1">
      <c r="A428" s="1622"/>
      <c r="B428" s="1615">
        <v>85214</v>
      </c>
      <c r="C428" s="1595"/>
      <c r="D428" s="1596"/>
      <c r="E428" s="1597" t="s">
        <v>477</v>
      </c>
      <c r="F428" s="1598">
        <f aca="true" t="shared" si="77" ref="F428:L428">F429+F435</f>
        <v>122000</v>
      </c>
      <c r="G428" s="1598">
        <f t="shared" si="77"/>
        <v>0</v>
      </c>
      <c r="H428" s="1598"/>
      <c r="I428" s="1598">
        <f t="shared" si="77"/>
        <v>0</v>
      </c>
      <c r="J428" s="1598"/>
      <c r="K428" s="1598">
        <f t="shared" si="77"/>
        <v>0</v>
      </c>
      <c r="L428" s="1598">
        <f t="shared" si="77"/>
        <v>497000</v>
      </c>
      <c r="M428" s="1598">
        <f>SUM(F428:L428)</f>
        <v>619000</v>
      </c>
    </row>
    <row r="429" spans="1:13" ht="24" customHeight="1">
      <c r="A429" s="1620"/>
      <c r="B429" s="1599"/>
      <c r="C429" s="1600" t="s">
        <v>602</v>
      </c>
      <c r="D429" s="1601"/>
      <c r="E429" s="1315" t="s">
        <v>1030</v>
      </c>
      <c r="F429" s="1316">
        <v>122000</v>
      </c>
      <c r="G429" s="1316">
        <v>0</v>
      </c>
      <c r="H429" s="1316"/>
      <c r="I429" s="1316">
        <v>0</v>
      </c>
      <c r="J429" s="1316"/>
      <c r="K429" s="1316">
        <v>0</v>
      </c>
      <c r="L429" s="1316">
        <f>247000+250000</f>
        <v>497000</v>
      </c>
      <c r="M429" s="1502">
        <f>F429+G429+H429+I429+J429+K429+L429</f>
        <v>619000</v>
      </c>
    </row>
    <row r="430" spans="1:13" ht="17.25" customHeight="1">
      <c r="A430" s="1620"/>
      <c r="B430" s="1599"/>
      <c r="C430" s="1600"/>
      <c r="D430" s="1602"/>
      <c r="E430" s="1603" t="s">
        <v>706</v>
      </c>
      <c r="F430" s="1502"/>
      <c r="G430" s="1502"/>
      <c r="H430" s="1502"/>
      <c r="I430" s="1502"/>
      <c r="J430" s="1502"/>
      <c r="K430" s="1502"/>
      <c r="L430" s="1502"/>
      <c r="M430" s="1502"/>
    </row>
    <row r="431" spans="1:13" ht="24" customHeight="1">
      <c r="A431" s="1620"/>
      <c r="B431" s="1599"/>
      <c r="C431" s="1600"/>
      <c r="D431" s="1602">
        <v>1</v>
      </c>
      <c r="E431" s="1604" t="s">
        <v>1031</v>
      </c>
      <c r="F431" s="1502">
        <v>0</v>
      </c>
      <c r="G431" s="1502">
        <v>0</v>
      </c>
      <c r="H431" s="1502"/>
      <c r="I431" s="1502">
        <v>0</v>
      </c>
      <c r="J431" s="1502"/>
      <c r="K431" s="1502">
        <v>0</v>
      </c>
      <c r="L431" s="1502">
        <v>0</v>
      </c>
      <c r="M431" s="1502">
        <f>F431+G431+H431+I431+J431+K431+L431</f>
        <v>0</v>
      </c>
    </row>
    <row r="432" spans="1:13" ht="24" customHeight="1">
      <c r="A432" s="1620"/>
      <c r="B432" s="1599"/>
      <c r="C432" s="1600"/>
      <c r="D432" s="1602">
        <v>2</v>
      </c>
      <c r="E432" s="1320" t="s">
        <v>1032</v>
      </c>
      <c r="F432" s="1502">
        <v>0</v>
      </c>
      <c r="G432" s="1502">
        <v>0</v>
      </c>
      <c r="H432" s="1502"/>
      <c r="I432" s="1502">
        <v>0</v>
      </c>
      <c r="J432" s="1502"/>
      <c r="K432" s="1502">
        <v>0</v>
      </c>
      <c r="L432" s="1502">
        <v>0</v>
      </c>
      <c r="M432" s="1502">
        <f>F432+G432+H432+I432+J432+K432+L432</f>
        <v>0</v>
      </c>
    </row>
    <row r="433" spans="1:13" ht="24" customHeight="1">
      <c r="A433" s="1620"/>
      <c r="B433" s="1599"/>
      <c r="C433" s="1600"/>
      <c r="D433" s="1602">
        <v>3</v>
      </c>
      <c r="E433" s="1320" t="s">
        <v>1033</v>
      </c>
      <c r="F433" s="1502">
        <v>0</v>
      </c>
      <c r="G433" s="1502">
        <v>0</v>
      </c>
      <c r="H433" s="1502"/>
      <c r="I433" s="1502">
        <v>0</v>
      </c>
      <c r="J433" s="1502"/>
      <c r="K433" s="1502">
        <v>0</v>
      </c>
      <c r="L433" s="1502">
        <v>0</v>
      </c>
      <c r="M433" s="1502">
        <f>F433+G433+H433+I433+J433+K433+L433</f>
        <v>0</v>
      </c>
    </row>
    <row r="434" spans="1:13" ht="24" customHeight="1">
      <c r="A434" s="1620"/>
      <c r="B434" s="1599"/>
      <c r="C434" s="1600"/>
      <c r="D434" s="1602">
        <v>4</v>
      </c>
      <c r="E434" s="1320" t="s">
        <v>1034</v>
      </c>
      <c r="F434" s="1502">
        <v>0</v>
      </c>
      <c r="G434" s="1502">
        <v>0</v>
      </c>
      <c r="H434" s="1502"/>
      <c r="I434" s="1502">
        <v>0</v>
      </c>
      <c r="J434" s="1502"/>
      <c r="K434" s="1502">
        <v>0</v>
      </c>
      <c r="L434" s="1502">
        <v>0</v>
      </c>
      <c r="M434" s="1502">
        <f>F434+G434+H434+I434+J434+K434+L434</f>
        <v>0</v>
      </c>
    </row>
    <row r="435" spans="1:13" ht="24" customHeight="1">
      <c r="A435" s="1620"/>
      <c r="B435" s="1599"/>
      <c r="C435" s="1605" t="s">
        <v>121</v>
      </c>
      <c r="D435" s="1601"/>
      <c r="E435" s="1315" t="s">
        <v>1035</v>
      </c>
      <c r="F435" s="1316">
        <v>0</v>
      </c>
      <c r="G435" s="1316">
        <v>0</v>
      </c>
      <c r="H435" s="1316"/>
      <c r="I435" s="1316">
        <v>0</v>
      </c>
      <c r="J435" s="1316"/>
      <c r="K435" s="1316">
        <v>0</v>
      </c>
      <c r="L435" s="1316">
        <v>0</v>
      </c>
      <c r="M435" s="1316">
        <f>F435+G435+H435+I435+J435+K435+L435</f>
        <v>0</v>
      </c>
    </row>
    <row r="436" spans="1:13" ht="18" customHeight="1">
      <c r="A436" s="1620"/>
      <c r="B436" s="1599"/>
      <c r="C436" s="1600"/>
      <c r="D436" s="1602"/>
      <c r="E436" s="1603" t="s">
        <v>706</v>
      </c>
      <c r="F436" s="1502"/>
      <c r="G436" s="1502"/>
      <c r="H436" s="1502"/>
      <c r="I436" s="1502"/>
      <c r="J436" s="1502"/>
      <c r="K436" s="1502"/>
      <c r="L436" s="1502"/>
      <c r="M436" s="1502"/>
    </row>
    <row r="437" spans="1:13" ht="39" customHeight="1">
      <c r="A437" s="1620"/>
      <c r="B437" s="1599"/>
      <c r="C437" s="1600"/>
      <c r="D437" s="1602">
        <v>1</v>
      </c>
      <c r="E437" s="1320" t="s">
        <v>1036</v>
      </c>
      <c r="F437" s="1502"/>
      <c r="G437" s="1502">
        <v>0</v>
      </c>
      <c r="H437" s="1502"/>
      <c r="I437" s="1502">
        <v>0</v>
      </c>
      <c r="J437" s="1502"/>
      <c r="K437" s="1502">
        <v>0</v>
      </c>
      <c r="L437" s="1502">
        <v>0</v>
      </c>
      <c r="M437" s="1502">
        <f>SUM(F437:L437)</f>
        <v>0</v>
      </c>
    </row>
    <row r="438" spans="1:13" ht="36" customHeight="1">
      <c r="A438" s="1622"/>
      <c r="B438" s="1615">
        <v>85215</v>
      </c>
      <c r="C438" s="1595"/>
      <c r="D438" s="1596"/>
      <c r="E438" s="1597" t="s">
        <v>85</v>
      </c>
      <c r="F438" s="1598">
        <f aca="true" t="shared" si="78" ref="F438:L438">F439+F445</f>
        <v>0</v>
      </c>
      <c r="G438" s="1598">
        <f t="shared" si="78"/>
        <v>0</v>
      </c>
      <c r="H438" s="1598">
        <f t="shared" si="78"/>
        <v>0</v>
      </c>
      <c r="I438" s="1598">
        <f t="shared" si="78"/>
        <v>0</v>
      </c>
      <c r="J438" s="1598">
        <f t="shared" si="78"/>
        <v>0</v>
      </c>
      <c r="K438" s="1598">
        <f t="shared" si="78"/>
        <v>0</v>
      </c>
      <c r="L438" s="1598">
        <f t="shared" si="78"/>
        <v>1600000</v>
      </c>
      <c r="M438" s="1598">
        <f>SUM(F438:L438)</f>
        <v>1600000</v>
      </c>
    </row>
    <row r="439" spans="1:13" ht="24" customHeight="1">
      <c r="A439" s="1620"/>
      <c r="B439" s="1599"/>
      <c r="C439" s="1600" t="s">
        <v>602</v>
      </c>
      <c r="D439" s="1601"/>
      <c r="E439" s="1315" t="s">
        <v>1030</v>
      </c>
      <c r="F439" s="1316">
        <v>0</v>
      </c>
      <c r="G439" s="1316">
        <v>0</v>
      </c>
      <c r="H439" s="1316">
        <v>0</v>
      </c>
      <c r="I439" s="1316">
        <v>0</v>
      </c>
      <c r="J439" s="1316">
        <v>0</v>
      </c>
      <c r="K439" s="1316">
        <v>0</v>
      </c>
      <c r="L439" s="1316">
        <f>1600000</f>
        <v>1600000</v>
      </c>
      <c r="M439" s="1502">
        <f>F439+G439+H439+I439+J439+K439+L439</f>
        <v>1600000</v>
      </c>
    </row>
    <row r="440" spans="1:13" ht="17.25" customHeight="1">
      <c r="A440" s="1620"/>
      <c r="B440" s="1599"/>
      <c r="C440" s="1600"/>
      <c r="D440" s="1602"/>
      <c r="E440" s="1603" t="s">
        <v>706</v>
      </c>
      <c r="F440" s="1502"/>
      <c r="G440" s="1502"/>
      <c r="H440" s="1502"/>
      <c r="I440" s="1502"/>
      <c r="J440" s="1502"/>
      <c r="K440" s="1502"/>
      <c r="L440" s="1502"/>
      <c r="M440" s="1502"/>
    </row>
    <row r="441" spans="1:13" ht="24" customHeight="1">
      <c r="A441" s="1620"/>
      <c r="B441" s="1599"/>
      <c r="C441" s="1600"/>
      <c r="D441" s="1602">
        <v>1</v>
      </c>
      <c r="E441" s="1604" t="s">
        <v>1031</v>
      </c>
      <c r="F441" s="1502">
        <v>0</v>
      </c>
      <c r="G441" s="1502">
        <v>0</v>
      </c>
      <c r="H441" s="1502">
        <v>0</v>
      </c>
      <c r="I441" s="1502">
        <v>0</v>
      </c>
      <c r="J441" s="1502">
        <v>0</v>
      </c>
      <c r="K441" s="1502">
        <v>0</v>
      </c>
      <c r="L441" s="1502">
        <v>0</v>
      </c>
      <c r="M441" s="1502">
        <f>F441+G441+H441+I441+J441+K441+L441</f>
        <v>0</v>
      </c>
    </row>
    <row r="442" spans="1:13" ht="24" customHeight="1">
      <c r="A442" s="1620"/>
      <c r="B442" s="1599"/>
      <c r="C442" s="1600"/>
      <c r="D442" s="1602">
        <v>2</v>
      </c>
      <c r="E442" s="1320" t="s">
        <v>1032</v>
      </c>
      <c r="F442" s="1502">
        <v>0</v>
      </c>
      <c r="G442" s="1502">
        <v>0</v>
      </c>
      <c r="H442" s="1502">
        <v>0</v>
      </c>
      <c r="I442" s="1502">
        <v>0</v>
      </c>
      <c r="J442" s="1502">
        <v>0</v>
      </c>
      <c r="K442" s="1502">
        <v>0</v>
      </c>
      <c r="L442" s="1502">
        <v>0</v>
      </c>
      <c r="M442" s="1502">
        <f>F442+G442+H442+I442+J442+K442+L442</f>
        <v>0</v>
      </c>
    </row>
    <row r="443" spans="1:13" ht="24" customHeight="1">
      <c r="A443" s="1620"/>
      <c r="B443" s="1599"/>
      <c r="C443" s="1600"/>
      <c r="D443" s="1602">
        <v>3</v>
      </c>
      <c r="E443" s="1320" t="s">
        <v>1033</v>
      </c>
      <c r="F443" s="1502">
        <v>0</v>
      </c>
      <c r="G443" s="1502">
        <v>0</v>
      </c>
      <c r="H443" s="1502">
        <v>0</v>
      </c>
      <c r="I443" s="1502">
        <v>0</v>
      </c>
      <c r="J443" s="1502">
        <v>0</v>
      </c>
      <c r="K443" s="1502">
        <v>0</v>
      </c>
      <c r="L443" s="1502">
        <v>0</v>
      </c>
      <c r="M443" s="1502">
        <f>F443+G443+H443+I443+J443+K443+L443</f>
        <v>0</v>
      </c>
    </row>
    <row r="444" spans="1:13" ht="24" customHeight="1">
      <c r="A444" s="1620"/>
      <c r="B444" s="1599"/>
      <c r="C444" s="1600"/>
      <c r="D444" s="1602">
        <v>4</v>
      </c>
      <c r="E444" s="1320" t="s">
        <v>1034</v>
      </c>
      <c r="F444" s="1502">
        <v>0</v>
      </c>
      <c r="G444" s="1502">
        <v>0</v>
      </c>
      <c r="H444" s="1502">
        <v>0</v>
      </c>
      <c r="I444" s="1502">
        <v>0</v>
      </c>
      <c r="J444" s="1502">
        <v>0</v>
      </c>
      <c r="K444" s="1502">
        <v>0</v>
      </c>
      <c r="L444" s="1502">
        <v>0</v>
      </c>
      <c r="M444" s="1502">
        <f>F444+G444+H444+I444+J444+K444+L444</f>
        <v>0</v>
      </c>
    </row>
    <row r="445" spans="1:13" ht="24" customHeight="1">
      <c r="A445" s="1620"/>
      <c r="B445" s="1599"/>
      <c r="C445" s="1605" t="s">
        <v>121</v>
      </c>
      <c r="D445" s="1601"/>
      <c r="E445" s="1315" t="s">
        <v>1035</v>
      </c>
      <c r="F445" s="1316">
        <v>0</v>
      </c>
      <c r="G445" s="1316">
        <v>0</v>
      </c>
      <c r="H445" s="1316">
        <v>0</v>
      </c>
      <c r="I445" s="1316">
        <v>0</v>
      </c>
      <c r="J445" s="1316">
        <v>0</v>
      </c>
      <c r="K445" s="1316">
        <v>0</v>
      </c>
      <c r="L445" s="1316">
        <v>0</v>
      </c>
      <c r="M445" s="1316">
        <f>F445+G445+H445+I445+J445+K445+L445</f>
        <v>0</v>
      </c>
    </row>
    <row r="446" spans="1:13" ht="18" customHeight="1">
      <c r="A446" s="1620"/>
      <c r="B446" s="1599"/>
      <c r="C446" s="1600"/>
      <c r="D446" s="1602"/>
      <c r="E446" s="1603" t="s">
        <v>706</v>
      </c>
      <c r="F446" s="1502"/>
      <c r="G446" s="1502"/>
      <c r="H446" s="1502"/>
      <c r="I446" s="1502"/>
      <c r="J446" s="1502"/>
      <c r="K446" s="1502"/>
      <c r="L446" s="1502"/>
      <c r="M446" s="1502"/>
    </row>
    <row r="447" spans="1:13" ht="39" customHeight="1">
      <c r="A447" s="1620"/>
      <c r="B447" s="1599"/>
      <c r="C447" s="1600"/>
      <c r="D447" s="1602">
        <v>1</v>
      </c>
      <c r="E447" s="1320" t="s">
        <v>1036</v>
      </c>
      <c r="F447" s="1502">
        <v>0</v>
      </c>
      <c r="G447" s="1502">
        <v>0</v>
      </c>
      <c r="H447" s="1502">
        <v>0</v>
      </c>
      <c r="I447" s="1502">
        <v>0</v>
      </c>
      <c r="J447" s="1502">
        <v>0</v>
      </c>
      <c r="K447" s="1502">
        <v>0</v>
      </c>
      <c r="L447" s="1502">
        <v>0</v>
      </c>
      <c r="M447" s="1502">
        <f>SUM(F447:L447)</f>
        <v>0</v>
      </c>
    </row>
    <row r="448" spans="1:13" ht="36" customHeight="1">
      <c r="A448" s="1622"/>
      <c r="B448" s="1615">
        <v>85219</v>
      </c>
      <c r="C448" s="1595"/>
      <c r="D448" s="1596"/>
      <c r="E448" s="1597" t="s">
        <v>88</v>
      </c>
      <c r="F448" s="1598">
        <f aca="true" t="shared" si="79" ref="F448:L448">F449+F455</f>
        <v>0</v>
      </c>
      <c r="G448" s="1598">
        <f t="shared" si="79"/>
        <v>0</v>
      </c>
      <c r="H448" s="1598">
        <f>H449+H455</f>
        <v>0</v>
      </c>
      <c r="I448" s="1598">
        <f>I449+I455</f>
        <v>0</v>
      </c>
      <c r="J448" s="1598">
        <f>J449+J455</f>
        <v>0</v>
      </c>
      <c r="K448" s="1598">
        <f>K449+K455</f>
        <v>0</v>
      </c>
      <c r="L448" s="1598">
        <f t="shared" si="79"/>
        <v>844000</v>
      </c>
      <c r="M448" s="1598">
        <f>SUM(F448:L448)</f>
        <v>844000</v>
      </c>
    </row>
    <row r="449" spans="1:13" ht="24" customHeight="1">
      <c r="A449" s="1620"/>
      <c r="B449" s="1599"/>
      <c r="C449" s="1600" t="s">
        <v>602</v>
      </c>
      <c r="D449" s="1601"/>
      <c r="E449" s="1315" t="s">
        <v>1030</v>
      </c>
      <c r="F449" s="1316">
        <v>0</v>
      </c>
      <c r="G449" s="1316">
        <v>0</v>
      </c>
      <c r="H449" s="1316">
        <v>0</v>
      </c>
      <c r="I449" s="1316">
        <v>0</v>
      </c>
      <c r="J449" s="1316">
        <v>0</v>
      </c>
      <c r="K449" s="1316">
        <v>0</v>
      </c>
      <c r="L449" s="1316">
        <f>294000+550000</f>
        <v>844000</v>
      </c>
      <c r="M449" s="1502">
        <f>F449+G449+H449+I449+J449+K449+L449</f>
        <v>844000</v>
      </c>
    </row>
    <row r="450" spans="1:13" ht="17.25" customHeight="1">
      <c r="A450" s="1620"/>
      <c r="B450" s="1599"/>
      <c r="C450" s="1600"/>
      <c r="D450" s="1602"/>
      <c r="E450" s="1603" t="s">
        <v>706</v>
      </c>
      <c r="F450" s="1502"/>
      <c r="G450" s="1502"/>
      <c r="H450" s="1502"/>
      <c r="I450" s="1502"/>
      <c r="J450" s="1502"/>
      <c r="K450" s="1502"/>
      <c r="L450" s="1502"/>
      <c r="M450" s="1502"/>
    </row>
    <row r="451" spans="1:13" ht="24" customHeight="1">
      <c r="A451" s="1620"/>
      <c r="B451" s="1599"/>
      <c r="C451" s="1600"/>
      <c r="D451" s="1602">
        <v>1</v>
      </c>
      <c r="E451" s="1604" t="s">
        <v>1031</v>
      </c>
      <c r="F451" s="1502">
        <v>0</v>
      </c>
      <c r="G451" s="1502">
        <v>0</v>
      </c>
      <c r="H451" s="1502">
        <v>0</v>
      </c>
      <c r="I451" s="1502">
        <v>0</v>
      </c>
      <c r="J451" s="1502">
        <v>0</v>
      </c>
      <c r="K451" s="1502">
        <v>0</v>
      </c>
      <c r="L451" s="1502">
        <v>750000</v>
      </c>
      <c r="M451" s="1502">
        <f>F451+G451+H451+I451+J451+K451+L451</f>
        <v>750000</v>
      </c>
    </row>
    <row r="452" spans="1:13" ht="24" customHeight="1">
      <c r="A452" s="1620"/>
      <c r="B452" s="1599"/>
      <c r="C452" s="1600"/>
      <c r="D452" s="1602">
        <v>2</v>
      </c>
      <c r="E452" s="1320" t="s">
        <v>1032</v>
      </c>
      <c r="F452" s="1502">
        <v>0</v>
      </c>
      <c r="G452" s="1502">
        <v>0</v>
      </c>
      <c r="H452" s="1502">
        <v>0</v>
      </c>
      <c r="I452" s="1502">
        <v>0</v>
      </c>
      <c r="J452" s="1502">
        <v>0</v>
      </c>
      <c r="K452" s="1502">
        <v>0</v>
      </c>
      <c r="L452" s="1502">
        <v>0</v>
      </c>
      <c r="M452" s="1502">
        <f>F452+G452+H452+I452+J452+K452+L452</f>
        <v>0</v>
      </c>
    </row>
    <row r="453" spans="1:13" ht="24" customHeight="1">
      <c r="A453" s="1620"/>
      <c r="B453" s="1599"/>
      <c r="C453" s="1600"/>
      <c r="D453" s="1602">
        <v>3</v>
      </c>
      <c r="E453" s="1320" t="s">
        <v>1033</v>
      </c>
      <c r="F453" s="1502">
        <v>0</v>
      </c>
      <c r="G453" s="1502">
        <v>0</v>
      </c>
      <c r="H453" s="1502">
        <v>0</v>
      </c>
      <c r="I453" s="1502">
        <v>0</v>
      </c>
      <c r="J453" s="1502">
        <v>0</v>
      </c>
      <c r="K453" s="1502">
        <v>0</v>
      </c>
      <c r="L453" s="1502">
        <v>0</v>
      </c>
      <c r="M453" s="1502">
        <f>F453+G453+H453+I453+J453+K453+L453</f>
        <v>0</v>
      </c>
    </row>
    <row r="454" spans="1:13" ht="24" customHeight="1">
      <c r="A454" s="1620"/>
      <c r="B454" s="1599"/>
      <c r="C454" s="1600"/>
      <c r="D454" s="1602">
        <v>4</v>
      </c>
      <c r="E454" s="1320" t="s">
        <v>1034</v>
      </c>
      <c r="F454" s="1502">
        <v>0</v>
      </c>
      <c r="G454" s="1502">
        <v>0</v>
      </c>
      <c r="H454" s="1502">
        <v>0</v>
      </c>
      <c r="I454" s="1502">
        <v>0</v>
      </c>
      <c r="J454" s="1502">
        <v>0</v>
      </c>
      <c r="K454" s="1502">
        <v>0</v>
      </c>
      <c r="L454" s="1502">
        <v>0</v>
      </c>
      <c r="M454" s="1502">
        <f>F454+G454+H454+I454+J454+K454+L454</f>
        <v>0</v>
      </c>
    </row>
    <row r="455" spans="1:13" ht="24" customHeight="1">
      <c r="A455" s="1620"/>
      <c r="B455" s="1599"/>
      <c r="C455" s="1605" t="s">
        <v>121</v>
      </c>
      <c r="D455" s="1601"/>
      <c r="E455" s="1315" t="s">
        <v>1035</v>
      </c>
      <c r="F455" s="1316">
        <v>0</v>
      </c>
      <c r="G455" s="1316">
        <v>0</v>
      </c>
      <c r="H455" s="1316">
        <v>0</v>
      </c>
      <c r="I455" s="1316">
        <v>0</v>
      </c>
      <c r="J455" s="1316">
        <v>0</v>
      </c>
      <c r="K455" s="1316">
        <v>0</v>
      </c>
      <c r="L455" s="1316">
        <f>L457</f>
        <v>0</v>
      </c>
      <c r="M455" s="1316">
        <f>F455+G455+H455+I455+J455+K455+L455</f>
        <v>0</v>
      </c>
    </row>
    <row r="456" spans="1:13" ht="18" customHeight="1">
      <c r="A456" s="1620"/>
      <c r="B456" s="1599"/>
      <c r="C456" s="1600"/>
      <c r="D456" s="1602"/>
      <c r="E456" s="1603" t="s">
        <v>706</v>
      </c>
      <c r="F456" s="1502"/>
      <c r="G456" s="1502"/>
      <c r="H456" s="1502"/>
      <c r="I456" s="1502"/>
      <c r="J456" s="1502"/>
      <c r="K456" s="1502"/>
      <c r="L456" s="1502"/>
      <c r="M456" s="1502"/>
    </row>
    <row r="457" spans="1:13" ht="39" customHeight="1">
      <c r="A457" s="1620"/>
      <c r="B457" s="1599"/>
      <c r="C457" s="1600"/>
      <c r="D457" s="1602">
        <v>1</v>
      </c>
      <c r="E457" s="1320" t="s">
        <v>1036</v>
      </c>
      <c r="F457" s="1502">
        <v>0</v>
      </c>
      <c r="G457" s="1502">
        <v>0</v>
      </c>
      <c r="H457" s="1502">
        <v>0</v>
      </c>
      <c r="I457" s="1502">
        <v>0</v>
      </c>
      <c r="J457" s="1502">
        <v>0</v>
      </c>
      <c r="K457" s="1502">
        <v>0</v>
      </c>
      <c r="L457" s="1502">
        <v>0</v>
      </c>
      <c r="M457" s="1502">
        <f>SUM(F457:L457)</f>
        <v>0</v>
      </c>
    </row>
    <row r="458" spans="1:13" ht="36" customHeight="1">
      <c r="A458" s="1622"/>
      <c r="B458" s="1615">
        <v>85295</v>
      </c>
      <c r="C458" s="1595"/>
      <c r="D458" s="1596"/>
      <c r="E458" s="1597" t="s">
        <v>24</v>
      </c>
      <c r="F458" s="1598">
        <f aca="true" t="shared" si="80" ref="F458:L458">F459+F465</f>
        <v>0</v>
      </c>
      <c r="G458" s="1598">
        <f t="shared" si="80"/>
        <v>0</v>
      </c>
      <c r="H458" s="1598">
        <f t="shared" si="80"/>
        <v>0</v>
      </c>
      <c r="I458" s="1598">
        <f t="shared" si="80"/>
        <v>0</v>
      </c>
      <c r="J458" s="1598">
        <f t="shared" si="80"/>
        <v>0</v>
      </c>
      <c r="K458" s="1598">
        <f t="shared" si="80"/>
        <v>0</v>
      </c>
      <c r="L458" s="1598">
        <f t="shared" si="80"/>
        <v>115000</v>
      </c>
      <c r="M458" s="1598">
        <f>SUM(F458:L458)</f>
        <v>115000</v>
      </c>
    </row>
    <row r="459" spans="1:13" ht="24" customHeight="1">
      <c r="A459" s="1620"/>
      <c r="B459" s="1599"/>
      <c r="C459" s="1600" t="s">
        <v>602</v>
      </c>
      <c r="D459" s="1601"/>
      <c r="E459" s="1315" t="s">
        <v>1030</v>
      </c>
      <c r="F459" s="1316">
        <v>0</v>
      </c>
      <c r="G459" s="1316">
        <v>0</v>
      </c>
      <c r="H459" s="1316">
        <v>0</v>
      </c>
      <c r="I459" s="1316">
        <v>0</v>
      </c>
      <c r="J459" s="1316">
        <v>0</v>
      </c>
      <c r="K459" s="1316">
        <v>0</v>
      </c>
      <c r="L459" s="1316">
        <v>115000</v>
      </c>
      <c r="M459" s="1502">
        <f>F459+G459+H459+I459+J459+K459+L459</f>
        <v>115000</v>
      </c>
    </row>
    <row r="460" spans="1:13" ht="17.25" customHeight="1">
      <c r="A460" s="1620"/>
      <c r="B460" s="1599"/>
      <c r="C460" s="1600"/>
      <c r="D460" s="1602"/>
      <c r="E460" s="1603" t="s">
        <v>706</v>
      </c>
      <c r="F460" s="1502"/>
      <c r="G460" s="1502"/>
      <c r="H460" s="1502"/>
      <c r="I460" s="1502"/>
      <c r="J460" s="1502"/>
      <c r="K460" s="1502"/>
      <c r="L460" s="1502"/>
      <c r="M460" s="1502"/>
    </row>
    <row r="461" spans="1:13" ht="24" customHeight="1">
      <c r="A461" s="1620"/>
      <c r="B461" s="1599"/>
      <c r="C461" s="1600"/>
      <c r="D461" s="1602">
        <v>1</v>
      </c>
      <c r="E461" s="1604" t="s">
        <v>1031</v>
      </c>
      <c r="F461" s="1502">
        <v>0</v>
      </c>
      <c r="G461" s="1502">
        <v>0</v>
      </c>
      <c r="H461" s="1502">
        <v>0</v>
      </c>
      <c r="I461" s="1502">
        <v>0</v>
      </c>
      <c r="J461" s="1502">
        <v>0</v>
      </c>
      <c r="K461" s="1502">
        <v>0</v>
      </c>
      <c r="L461" s="1502">
        <v>0</v>
      </c>
      <c r="M461" s="1502">
        <f>F461+G461+H461+I461+J461+K461+L461</f>
        <v>0</v>
      </c>
    </row>
    <row r="462" spans="1:13" ht="24" customHeight="1">
      <c r="A462" s="1620"/>
      <c r="B462" s="1599"/>
      <c r="C462" s="1600"/>
      <c r="D462" s="1602">
        <v>2</v>
      </c>
      <c r="E462" s="1320" t="s">
        <v>1032</v>
      </c>
      <c r="F462" s="1502">
        <v>0</v>
      </c>
      <c r="G462" s="1502">
        <v>0</v>
      </c>
      <c r="H462" s="1502">
        <v>0</v>
      </c>
      <c r="I462" s="1502">
        <v>0</v>
      </c>
      <c r="J462" s="1502">
        <v>0</v>
      </c>
      <c r="K462" s="1502">
        <v>0</v>
      </c>
      <c r="L462" s="1502">
        <v>0</v>
      </c>
      <c r="M462" s="1502">
        <f>F462+G462+H462+I462+J462+K462+L462</f>
        <v>0</v>
      </c>
    </row>
    <row r="463" spans="1:13" ht="24" customHeight="1">
      <c r="A463" s="1620"/>
      <c r="B463" s="1599"/>
      <c r="C463" s="1600"/>
      <c r="D463" s="1602">
        <v>3</v>
      </c>
      <c r="E463" s="1320" t="s">
        <v>1033</v>
      </c>
      <c r="F463" s="1502">
        <v>0</v>
      </c>
      <c r="G463" s="1502">
        <v>0</v>
      </c>
      <c r="H463" s="1502">
        <v>0</v>
      </c>
      <c r="I463" s="1502">
        <v>0</v>
      </c>
      <c r="J463" s="1502">
        <v>0</v>
      </c>
      <c r="K463" s="1502">
        <v>0</v>
      </c>
      <c r="L463" s="1502">
        <v>0</v>
      </c>
      <c r="M463" s="1502">
        <f>F463+G463+H463+I463+J463+K463+L463</f>
        <v>0</v>
      </c>
    </row>
    <row r="464" spans="1:13" ht="24" customHeight="1">
      <c r="A464" s="1620"/>
      <c r="B464" s="1599"/>
      <c r="C464" s="1600"/>
      <c r="D464" s="1602">
        <v>4</v>
      </c>
      <c r="E464" s="1320" t="s">
        <v>1034</v>
      </c>
      <c r="F464" s="1502">
        <v>0</v>
      </c>
      <c r="G464" s="1502">
        <v>0</v>
      </c>
      <c r="H464" s="1502">
        <v>0</v>
      </c>
      <c r="I464" s="1502">
        <v>0</v>
      </c>
      <c r="J464" s="1502">
        <v>0</v>
      </c>
      <c r="K464" s="1502">
        <v>0</v>
      </c>
      <c r="L464" s="1502">
        <v>0</v>
      </c>
      <c r="M464" s="1502">
        <f>F464+G464+H464+I464+J464+K464+L464</f>
        <v>0</v>
      </c>
    </row>
    <row r="465" spans="1:13" ht="24" customHeight="1">
      <c r="A465" s="1620"/>
      <c r="B465" s="1599"/>
      <c r="C465" s="1605" t="s">
        <v>121</v>
      </c>
      <c r="D465" s="1601"/>
      <c r="E465" s="1315" t="s">
        <v>1035</v>
      </c>
      <c r="F465" s="1316">
        <v>0</v>
      </c>
      <c r="G465" s="1316">
        <v>0</v>
      </c>
      <c r="H465" s="1316">
        <v>0</v>
      </c>
      <c r="I465" s="1316">
        <v>0</v>
      </c>
      <c r="J465" s="1316">
        <v>0</v>
      </c>
      <c r="K465" s="1316">
        <v>0</v>
      </c>
      <c r="L465" s="1316">
        <f>L467</f>
        <v>0</v>
      </c>
      <c r="M465" s="1316">
        <f>F465+G465+H465+I465+J465+K465+L465</f>
        <v>0</v>
      </c>
    </row>
    <row r="466" spans="1:13" ht="18" customHeight="1">
      <c r="A466" s="1620"/>
      <c r="B466" s="1599"/>
      <c r="C466" s="1600"/>
      <c r="D466" s="1602"/>
      <c r="E466" s="1603" t="s">
        <v>706</v>
      </c>
      <c r="F466" s="1502"/>
      <c r="G466" s="1502"/>
      <c r="H466" s="1502"/>
      <c r="I466" s="1502"/>
      <c r="J466" s="1502"/>
      <c r="K466" s="1502"/>
      <c r="L466" s="1502"/>
      <c r="M466" s="1502"/>
    </row>
    <row r="467" spans="1:13" ht="39" customHeight="1">
      <c r="A467" s="1620"/>
      <c r="B467" s="1599"/>
      <c r="C467" s="1600"/>
      <c r="D467" s="1602">
        <v>1</v>
      </c>
      <c r="E467" s="1320" t="s">
        <v>1036</v>
      </c>
      <c r="F467" s="1502">
        <v>0</v>
      </c>
      <c r="G467" s="1502">
        <v>0</v>
      </c>
      <c r="H467" s="1502">
        <v>0</v>
      </c>
      <c r="I467" s="1502">
        <v>0</v>
      </c>
      <c r="J467" s="1502">
        <v>0</v>
      </c>
      <c r="K467" s="1502">
        <v>0</v>
      </c>
      <c r="L467" s="1502">
        <v>0</v>
      </c>
      <c r="M467" s="1502">
        <f>SUM(F467:L467)</f>
        <v>0</v>
      </c>
    </row>
    <row r="468" spans="1:13" ht="36" customHeight="1">
      <c r="A468" s="1616">
        <v>16</v>
      </c>
      <c r="B468" s="1607">
        <v>854</v>
      </c>
      <c r="C468" s="1606"/>
      <c r="D468" s="1606"/>
      <c r="E468" s="1617" t="s">
        <v>92</v>
      </c>
      <c r="F468" s="1609">
        <f aca="true" t="shared" si="81" ref="F468:K468">F469+F479+F489</f>
        <v>0</v>
      </c>
      <c r="G468" s="1609">
        <f t="shared" si="81"/>
        <v>0</v>
      </c>
      <c r="H468" s="1609">
        <f t="shared" si="81"/>
        <v>17301</v>
      </c>
      <c r="I468" s="1609">
        <f t="shared" si="81"/>
        <v>0</v>
      </c>
      <c r="J468" s="1609">
        <f t="shared" si="81"/>
        <v>0</v>
      </c>
      <c r="K468" s="1609">
        <f t="shared" si="81"/>
        <v>0</v>
      </c>
      <c r="L468" s="1609">
        <f>L469+L479+L489</f>
        <v>1361123</v>
      </c>
      <c r="M468" s="1592">
        <f>SUM(F468:L468)</f>
        <v>1378424</v>
      </c>
    </row>
    <row r="469" spans="1:13" ht="36" customHeight="1">
      <c r="A469" s="1622"/>
      <c r="B469" s="1615">
        <v>85401</v>
      </c>
      <c r="C469" s="1595"/>
      <c r="D469" s="1596"/>
      <c r="E469" s="1597" t="s">
        <v>94</v>
      </c>
      <c r="F469" s="1598">
        <f aca="true" t="shared" si="82" ref="F469:L469">F470+F476</f>
        <v>0</v>
      </c>
      <c r="G469" s="1598">
        <f t="shared" si="82"/>
        <v>0</v>
      </c>
      <c r="H469" s="1598">
        <f t="shared" si="82"/>
        <v>0</v>
      </c>
      <c r="I469" s="1598">
        <f t="shared" si="82"/>
        <v>0</v>
      </c>
      <c r="J469" s="1598">
        <f t="shared" si="82"/>
        <v>0</v>
      </c>
      <c r="K469" s="1598">
        <f t="shared" si="82"/>
        <v>0</v>
      </c>
      <c r="L469" s="1598">
        <f t="shared" si="82"/>
        <v>1319000</v>
      </c>
      <c r="M469" s="1598">
        <f>SUM(F469:L469)</f>
        <v>1319000</v>
      </c>
    </row>
    <row r="470" spans="1:13" ht="24" customHeight="1">
      <c r="A470" s="1626"/>
      <c r="B470" s="1599"/>
      <c r="C470" s="1600" t="s">
        <v>602</v>
      </c>
      <c r="D470" s="1601"/>
      <c r="E470" s="1315" t="s">
        <v>1030</v>
      </c>
      <c r="F470" s="1316">
        <v>0</v>
      </c>
      <c r="G470" s="1316">
        <v>0</v>
      </c>
      <c r="H470" s="1316">
        <v>0</v>
      </c>
      <c r="I470" s="1316">
        <v>0</v>
      </c>
      <c r="J470" s="1316">
        <v>0</v>
      </c>
      <c r="K470" s="1316">
        <v>0</v>
      </c>
      <c r="L470" s="1316">
        <f>240000+525000+226000+328000</f>
        <v>1319000</v>
      </c>
      <c r="M470" s="1502">
        <f>F470+G470+H470+I470+J470+K470+L470</f>
        <v>1319000</v>
      </c>
    </row>
    <row r="471" spans="1:13" ht="18" customHeight="1">
      <c r="A471" s="1626"/>
      <c r="B471" s="1599"/>
      <c r="C471" s="1600"/>
      <c r="D471" s="1602"/>
      <c r="E471" s="1603" t="s">
        <v>706</v>
      </c>
      <c r="F471" s="1502"/>
      <c r="G471" s="1502"/>
      <c r="H471" s="1502"/>
      <c r="I471" s="1502"/>
      <c r="J471" s="1502"/>
      <c r="K471" s="1502"/>
      <c r="L471" s="1502"/>
      <c r="M471" s="1502"/>
    </row>
    <row r="472" spans="1:13" ht="24" customHeight="1">
      <c r="A472" s="1626"/>
      <c r="B472" s="1599"/>
      <c r="C472" s="1600"/>
      <c r="D472" s="1602">
        <v>1</v>
      </c>
      <c r="E472" s="1604" t="s">
        <v>1031</v>
      </c>
      <c r="F472" s="1502">
        <v>0</v>
      </c>
      <c r="G472" s="1502">
        <v>0</v>
      </c>
      <c r="H472" s="1502">
        <v>0</v>
      </c>
      <c r="I472" s="1502">
        <v>0</v>
      </c>
      <c r="J472" s="1502">
        <v>0</v>
      </c>
      <c r="K472" s="1502">
        <v>0</v>
      </c>
      <c r="L472" s="1502">
        <f>170000+302000+116000+215600</f>
        <v>803600</v>
      </c>
      <c r="M472" s="1502">
        <f>F472+G472+H472+I472+J472+K472+L472</f>
        <v>803600</v>
      </c>
    </row>
    <row r="473" spans="1:13" ht="24" customHeight="1">
      <c r="A473" s="1626"/>
      <c r="B473" s="1599"/>
      <c r="C473" s="1600"/>
      <c r="D473" s="1602">
        <v>2</v>
      </c>
      <c r="E473" s="1320" t="s">
        <v>1032</v>
      </c>
      <c r="F473" s="1502">
        <v>0</v>
      </c>
      <c r="G473" s="1502">
        <v>0</v>
      </c>
      <c r="H473" s="1502">
        <v>0</v>
      </c>
      <c r="I473" s="1502">
        <v>0</v>
      </c>
      <c r="J473" s="1502">
        <v>0</v>
      </c>
      <c r="K473" s="1502">
        <v>0</v>
      </c>
      <c r="L473" s="1502">
        <v>0</v>
      </c>
      <c r="M473" s="1502">
        <f>F473+G473+H473+I473+J473+K473+L473</f>
        <v>0</v>
      </c>
    </row>
    <row r="474" spans="1:13" ht="24" customHeight="1">
      <c r="A474" s="1626"/>
      <c r="B474" s="1599"/>
      <c r="C474" s="1600"/>
      <c r="D474" s="1602">
        <v>3</v>
      </c>
      <c r="E474" s="1320" t="s">
        <v>1033</v>
      </c>
      <c r="F474" s="1502">
        <v>0</v>
      </c>
      <c r="G474" s="1502">
        <v>0</v>
      </c>
      <c r="H474" s="1502">
        <v>0</v>
      </c>
      <c r="I474" s="1502">
        <v>0</v>
      </c>
      <c r="J474" s="1502">
        <v>0</v>
      </c>
      <c r="K474" s="1502">
        <v>0</v>
      </c>
      <c r="L474" s="1502">
        <v>0</v>
      </c>
      <c r="M474" s="1502">
        <f>F474+G474+H474+I474+J474+K474+L474</f>
        <v>0</v>
      </c>
    </row>
    <row r="475" spans="1:13" ht="24" customHeight="1">
      <c r="A475" s="1626"/>
      <c r="B475" s="1599"/>
      <c r="C475" s="1600"/>
      <c r="D475" s="1602">
        <v>4</v>
      </c>
      <c r="E475" s="1320" t="s">
        <v>1034</v>
      </c>
      <c r="F475" s="1502">
        <v>0</v>
      </c>
      <c r="G475" s="1502">
        <v>0</v>
      </c>
      <c r="H475" s="1502">
        <v>0</v>
      </c>
      <c r="I475" s="1502">
        <v>0</v>
      </c>
      <c r="J475" s="1502">
        <v>0</v>
      </c>
      <c r="K475" s="1502">
        <v>0</v>
      </c>
      <c r="L475" s="1502">
        <v>0</v>
      </c>
      <c r="M475" s="1502">
        <f>F475+G475+H475+I475+J475+K475+L475</f>
        <v>0</v>
      </c>
    </row>
    <row r="476" spans="1:13" ht="24" customHeight="1">
      <c r="A476" s="1626"/>
      <c r="B476" s="1599"/>
      <c r="C476" s="1605" t="s">
        <v>121</v>
      </c>
      <c r="D476" s="1601"/>
      <c r="E476" s="1315" t="s">
        <v>1035</v>
      </c>
      <c r="F476" s="1316">
        <v>0</v>
      </c>
      <c r="G476" s="1316">
        <v>0</v>
      </c>
      <c r="H476" s="1316">
        <v>0</v>
      </c>
      <c r="I476" s="1316">
        <v>0</v>
      </c>
      <c r="J476" s="1316">
        <v>0</v>
      </c>
      <c r="K476" s="1316">
        <v>0</v>
      </c>
      <c r="L476" s="1316">
        <v>0</v>
      </c>
      <c r="M476" s="1316">
        <f>F476+G476+H476+I476+J476+K476+L476</f>
        <v>0</v>
      </c>
    </row>
    <row r="477" spans="1:13" ht="18" customHeight="1">
      <c r="A477" s="1626"/>
      <c r="B477" s="1599"/>
      <c r="C477" s="1600"/>
      <c r="D477" s="1602"/>
      <c r="E477" s="1603" t="s">
        <v>706</v>
      </c>
      <c r="F477" s="1502"/>
      <c r="G477" s="1502"/>
      <c r="H477" s="1502"/>
      <c r="I477" s="1502"/>
      <c r="J477" s="1502"/>
      <c r="K477" s="1502"/>
      <c r="L477" s="1502"/>
      <c r="M477" s="1502"/>
    </row>
    <row r="478" spans="1:13" ht="41.25" customHeight="1">
      <c r="A478" s="1626"/>
      <c r="B478" s="1627"/>
      <c r="C478" s="1628"/>
      <c r="D478" s="1602">
        <v>1</v>
      </c>
      <c r="E478" s="1320" t="s">
        <v>1036</v>
      </c>
      <c r="F478" s="1502">
        <v>0</v>
      </c>
      <c r="G478" s="1502">
        <v>0</v>
      </c>
      <c r="H478" s="1502">
        <v>0</v>
      </c>
      <c r="I478" s="1502">
        <v>0</v>
      </c>
      <c r="J478" s="1502">
        <v>0</v>
      </c>
      <c r="K478" s="1502">
        <v>0</v>
      </c>
      <c r="L478" s="1502">
        <v>0</v>
      </c>
      <c r="M478" s="1502">
        <f>SUM(F478:L478)</f>
        <v>0</v>
      </c>
    </row>
    <row r="479" spans="1:13" ht="67.5" customHeight="1">
      <c r="A479" s="1622"/>
      <c r="B479" s="1615">
        <v>85412</v>
      </c>
      <c r="C479" s="1595"/>
      <c r="D479" s="1596"/>
      <c r="E479" s="1597" t="s">
        <v>729</v>
      </c>
      <c r="F479" s="1598">
        <f>F480+F486</f>
        <v>0</v>
      </c>
      <c r="G479" s="1598">
        <f aca="true" t="shared" si="83" ref="G479:L479">G480+G486</f>
        <v>0</v>
      </c>
      <c r="H479" s="1598">
        <f t="shared" si="83"/>
        <v>0</v>
      </c>
      <c r="I479" s="1598">
        <f t="shared" si="83"/>
        <v>0</v>
      </c>
      <c r="J479" s="1598">
        <f t="shared" si="83"/>
        <v>0</v>
      </c>
      <c r="K479" s="1598">
        <f t="shared" si="83"/>
        <v>0</v>
      </c>
      <c r="L479" s="1598">
        <f t="shared" si="83"/>
        <v>25000</v>
      </c>
      <c r="M479" s="1598">
        <f>SUM(F479:L479)</f>
        <v>25000</v>
      </c>
    </row>
    <row r="480" spans="1:13" ht="24" customHeight="1">
      <c r="A480" s="1626"/>
      <c r="B480" s="1599"/>
      <c r="C480" s="1600" t="s">
        <v>602</v>
      </c>
      <c r="D480" s="1601"/>
      <c r="E480" s="1315" t="s">
        <v>1030</v>
      </c>
      <c r="F480" s="1316">
        <v>0</v>
      </c>
      <c r="G480" s="1316">
        <v>0</v>
      </c>
      <c r="H480" s="1316">
        <v>0</v>
      </c>
      <c r="I480" s="1316">
        <v>0</v>
      </c>
      <c r="J480" s="1316">
        <v>0</v>
      </c>
      <c r="K480" s="1316">
        <v>0</v>
      </c>
      <c r="L480" s="1316">
        <v>25000</v>
      </c>
      <c r="M480" s="1502">
        <f>F480+G480+H480+I480+J480+K480+L480</f>
        <v>25000</v>
      </c>
    </row>
    <row r="481" spans="1:13" ht="18" customHeight="1">
      <c r="A481" s="1626"/>
      <c r="B481" s="1599"/>
      <c r="C481" s="1600"/>
      <c r="D481" s="1602"/>
      <c r="E481" s="1603" t="s">
        <v>706</v>
      </c>
      <c r="F481" s="1502"/>
      <c r="G481" s="1502"/>
      <c r="H481" s="1502"/>
      <c r="I481" s="1502"/>
      <c r="J481" s="1502"/>
      <c r="K481" s="1502"/>
      <c r="L481" s="1502"/>
      <c r="M481" s="1502"/>
    </row>
    <row r="482" spans="1:13" ht="24" customHeight="1">
      <c r="A482" s="1626"/>
      <c r="B482" s="1599"/>
      <c r="C482" s="1600"/>
      <c r="D482" s="1602">
        <v>1</v>
      </c>
      <c r="E482" s="1604" t="s">
        <v>1031</v>
      </c>
      <c r="F482" s="1502">
        <v>0</v>
      </c>
      <c r="G482" s="1502">
        <v>0</v>
      </c>
      <c r="H482" s="1502">
        <v>0</v>
      </c>
      <c r="I482" s="1502">
        <v>0</v>
      </c>
      <c r="J482" s="1502">
        <v>0</v>
      </c>
      <c r="K482" s="1502">
        <v>0</v>
      </c>
      <c r="L482" s="1502">
        <v>5000</v>
      </c>
      <c r="M482" s="1502">
        <f>F482+G482+H482+I482+J482+K482+L482</f>
        <v>5000</v>
      </c>
    </row>
    <row r="483" spans="1:13" ht="24" customHeight="1">
      <c r="A483" s="1626"/>
      <c r="B483" s="1599"/>
      <c r="C483" s="1600"/>
      <c r="D483" s="1602">
        <v>2</v>
      </c>
      <c r="E483" s="1320" t="s">
        <v>1032</v>
      </c>
      <c r="F483" s="1502">
        <v>0</v>
      </c>
      <c r="G483" s="1502">
        <v>0</v>
      </c>
      <c r="H483" s="1502">
        <v>0</v>
      </c>
      <c r="I483" s="1502">
        <v>0</v>
      </c>
      <c r="J483" s="1502">
        <v>0</v>
      </c>
      <c r="K483" s="1502">
        <v>0</v>
      </c>
      <c r="L483" s="1502">
        <v>0</v>
      </c>
      <c r="M483" s="1502">
        <f>F483+G483+H483+I483+J483+K483+L483</f>
        <v>0</v>
      </c>
    </row>
    <row r="484" spans="1:13" ht="24" customHeight="1">
      <c r="A484" s="1626"/>
      <c r="B484" s="1599"/>
      <c r="C484" s="1600"/>
      <c r="D484" s="1602">
        <v>3</v>
      </c>
      <c r="E484" s="1320" t="s">
        <v>1033</v>
      </c>
      <c r="F484" s="1502">
        <v>0</v>
      </c>
      <c r="G484" s="1502">
        <v>0</v>
      </c>
      <c r="H484" s="1502">
        <v>0</v>
      </c>
      <c r="I484" s="1502">
        <v>0</v>
      </c>
      <c r="J484" s="1502">
        <v>0</v>
      </c>
      <c r="K484" s="1502">
        <v>0</v>
      </c>
      <c r="L484" s="1502">
        <v>0</v>
      </c>
      <c r="M484" s="1502">
        <f>F484+G484+H484+I484+J484+K484+L484</f>
        <v>0</v>
      </c>
    </row>
    <row r="485" spans="1:13" ht="24" customHeight="1">
      <c r="A485" s="1626"/>
      <c r="B485" s="1599"/>
      <c r="C485" s="1600"/>
      <c r="D485" s="1602">
        <v>4</v>
      </c>
      <c r="E485" s="1320" t="s">
        <v>1034</v>
      </c>
      <c r="F485" s="1502">
        <v>0</v>
      </c>
      <c r="G485" s="1502">
        <v>0</v>
      </c>
      <c r="H485" s="1502">
        <v>0</v>
      </c>
      <c r="I485" s="1502">
        <v>0</v>
      </c>
      <c r="J485" s="1502">
        <v>0</v>
      </c>
      <c r="K485" s="1502">
        <v>0</v>
      </c>
      <c r="L485" s="1502">
        <v>0</v>
      </c>
      <c r="M485" s="1502">
        <f>F485+G485+H485+I485+J485+K485+L485</f>
        <v>0</v>
      </c>
    </row>
    <row r="486" spans="1:13" ht="24" customHeight="1">
      <c r="A486" s="1626"/>
      <c r="B486" s="1599"/>
      <c r="C486" s="1605" t="s">
        <v>121</v>
      </c>
      <c r="D486" s="1601"/>
      <c r="E486" s="1315" t="s">
        <v>1035</v>
      </c>
      <c r="F486" s="1316">
        <v>0</v>
      </c>
      <c r="G486" s="1316">
        <v>0</v>
      </c>
      <c r="H486" s="1316">
        <v>0</v>
      </c>
      <c r="I486" s="1316">
        <v>0</v>
      </c>
      <c r="J486" s="1316">
        <v>0</v>
      </c>
      <c r="K486" s="1316">
        <v>0</v>
      </c>
      <c r="L486" s="1316">
        <v>0</v>
      </c>
      <c r="M486" s="1316">
        <f>F486+G486+H486+I486+J486+K486+L486</f>
        <v>0</v>
      </c>
    </row>
    <row r="487" spans="1:13" ht="18" customHeight="1">
      <c r="A487" s="1626"/>
      <c r="B487" s="1599"/>
      <c r="C487" s="1600"/>
      <c r="D487" s="1602"/>
      <c r="E487" s="1603" t="s">
        <v>706</v>
      </c>
      <c r="F487" s="1502"/>
      <c r="G487" s="1502"/>
      <c r="H487" s="1502"/>
      <c r="I487" s="1502"/>
      <c r="J487" s="1502"/>
      <c r="K487" s="1502"/>
      <c r="L487" s="1502"/>
      <c r="M487" s="1502"/>
    </row>
    <row r="488" spans="1:13" ht="41.25" customHeight="1">
      <c r="A488" s="1626"/>
      <c r="B488" s="1627"/>
      <c r="C488" s="1628"/>
      <c r="D488" s="1602">
        <v>1</v>
      </c>
      <c r="E488" s="1320" t="s">
        <v>1036</v>
      </c>
      <c r="F488" s="1502">
        <v>0</v>
      </c>
      <c r="G488" s="1502">
        <v>0</v>
      </c>
      <c r="H488" s="1502">
        <v>0</v>
      </c>
      <c r="I488" s="1502">
        <v>0</v>
      </c>
      <c r="J488" s="1502">
        <v>0</v>
      </c>
      <c r="K488" s="1502">
        <v>0</v>
      </c>
      <c r="L488" s="1502">
        <v>0</v>
      </c>
      <c r="M488" s="1502">
        <f>SUM(F488:L488)</f>
        <v>0</v>
      </c>
    </row>
    <row r="489" spans="1:13" ht="36" customHeight="1">
      <c r="A489" s="1622"/>
      <c r="B489" s="1615">
        <v>85415</v>
      </c>
      <c r="C489" s="1595"/>
      <c r="D489" s="1596"/>
      <c r="E489" s="1597" t="s">
        <v>96</v>
      </c>
      <c r="F489" s="1598">
        <f aca="true" t="shared" si="84" ref="F489:L489">F490+F496</f>
        <v>0</v>
      </c>
      <c r="G489" s="1598">
        <f t="shared" si="84"/>
        <v>0</v>
      </c>
      <c r="H489" s="1598">
        <f t="shared" si="84"/>
        <v>17301</v>
      </c>
      <c r="I489" s="1598">
        <f t="shared" si="84"/>
        <v>0</v>
      </c>
      <c r="J489" s="1598">
        <f t="shared" si="84"/>
        <v>0</v>
      </c>
      <c r="K489" s="1598">
        <f t="shared" si="84"/>
        <v>0</v>
      </c>
      <c r="L489" s="1598">
        <f t="shared" si="84"/>
        <v>17123</v>
      </c>
      <c r="M489" s="1598">
        <f>SUM(F489:L489)</f>
        <v>34424</v>
      </c>
    </row>
    <row r="490" spans="1:13" ht="24" customHeight="1">
      <c r="A490" s="1626"/>
      <c r="B490" s="1599"/>
      <c r="C490" s="1600" t="s">
        <v>602</v>
      </c>
      <c r="D490" s="1601"/>
      <c r="E490" s="1315" t="s">
        <v>1030</v>
      </c>
      <c r="F490" s="1316">
        <v>0</v>
      </c>
      <c r="G490" s="1316">
        <v>0</v>
      </c>
      <c r="H490" s="1316">
        <v>17301</v>
      </c>
      <c r="I490" s="1316">
        <v>0</v>
      </c>
      <c r="J490" s="1316"/>
      <c r="K490" s="1316">
        <v>0</v>
      </c>
      <c r="L490" s="1316">
        <f>9000+8123</f>
        <v>17123</v>
      </c>
      <c r="M490" s="1502">
        <f>F490+G490+H490+I490+J490+K490+L490</f>
        <v>34424</v>
      </c>
    </row>
    <row r="491" spans="1:13" ht="18" customHeight="1">
      <c r="A491" s="1626"/>
      <c r="B491" s="1599"/>
      <c r="C491" s="1600"/>
      <c r="D491" s="1602"/>
      <c r="E491" s="1603" t="s">
        <v>706</v>
      </c>
      <c r="F491" s="1502"/>
      <c r="G491" s="1502"/>
      <c r="H491" s="1502"/>
      <c r="I491" s="1502"/>
      <c r="J491" s="1502"/>
      <c r="K491" s="1502"/>
      <c r="L491" s="1502"/>
      <c r="M491" s="1502"/>
    </row>
    <row r="492" spans="1:13" ht="24" customHeight="1">
      <c r="A492" s="1626"/>
      <c r="B492" s="1599"/>
      <c r="C492" s="1600"/>
      <c r="D492" s="1602">
        <v>1</v>
      </c>
      <c r="E492" s="1604" t="s">
        <v>1031</v>
      </c>
      <c r="F492" s="1502">
        <v>0</v>
      </c>
      <c r="G492" s="1502">
        <v>0</v>
      </c>
      <c r="H492" s="1502">
        <v>3010</v>
      </c>
      <c r="I492" s="1502">
        <v>0</v>
      </c>
      <c r="J492" s="1502"/>
      <c r="K492" s="1502">
        <v>0</v>
      </c>
      <c r="L492" s="1502">
        <v>1413</v>
      </c>
      <c r="M492" s="1502">
        <f>F492+G492+H492+I492+J492+K492+L492</f>
        <v>4423</v>
      </c>
    </row>
    <row r="493" spans="1:13" ht="24" customHeight="1">
      <c r="A493" s="1626"/>
      <c r="B493" s="1599"/>
      <c r="C493" s="1600"/>
      <c r="D493" s="1602">
        <v>2</v>
      </c>
      <c r="E493" s="1320" t="s">
        <v>1032</v>
      </c>
      <c r="F493" s="1502">
        <v>0</v>
      </c>
      <c r="G493" s="1502">
        <v>0</v>
      </c>
      <c r="H493" s="1502"/>
      <c r="I493" s="1502">
        <v>0</v>
      </c>
      <c r="J493" s="1502"/>
      <c r="K493" s="1502">
        <v>0</v>
      </c>
      <c r="L493" s="1502">
        <v>0</v>
      </c>
      <c r="M493" s="1502">
        <f>F493+G493+H493+I493+J493+K493+L493</f>
        <v>0</v>
      </c>
    </row>
    <row r="494" spans="1:13" ht="24" customHeight="1">
      <c r="A494" s="1626"/>
      <c r="B494" s="1599"/>
      <c r="C494" s="1600"/>
      <c r="D494" s="1602">
        <v>3</v>
      </c>
      <c r="E494" s="1320" t="s">
        <v>1033</v>
      </c>
      <c r="F494" s="1502">
        <v>0</v>
      </c>
      <c r="G494" s="1502">
        <v>0</v>
      </c>
      <c r="H494" s="1502"/>
      <c r="I494" s="1502">
        <v>0</v>
      </c>
      <c r="J494" s="1502"/>
      <c r="K494" s="1502">
        <v>0</v>
      </c>
      <c r="L494" s="1502">
        <v>0</v>
      </c>
      <c r="M494" s="1502">
        <f>F494+G494+H494+I494+J494+K494+L494</f>
        <v>0</v>
      </c>
    </row>
    <row r="495" spans="1:13" ht="24" customHeight="1">
      <c r="A495" s="1626"/>
      <c r="B495" s="1599"/>
      <c r="C495" s="1600"/>
      <c r="D495" s="1602">
        <v>4</v>
      </c>
      <c r="E495" s="1320" t="s">
        <v>1034</v>
      </c>
      <c r="F495" s="1502">
        <v>0</v>
      </c>
      <c r="G495" s="1502">
        <v>0</v>
      </c>
      <c r="H495" s="1502"/>
      <c r="I495" s="1502">
        <v>0</v>
      </c>
      <c r="J495" s="1502"/>
      <c r="K495" s="1502">
        <v>0</v>
      </c>
      <c r="L495" s="1502">
        <v>0</v>
      </c>
      <c r="M495" s="1502">
        <f>F495+G495+H495+I495+J495+K495+L495</f>
        <v>0</v>
      </c>
    </row>
    <row r="496" spans="1:13" ht="24" customHeight="1">
      <c r="A496" s="1626"/>
      <c r="B496" s="1599"/>
      <c r="C496" s="1605" t="s">
        <v>121</v>
      </c>
      <c r="D496" s="1601"/>
      <c r="E496" s="1315" t="s">
        <v>1035</v>
      </c>
      <c r="F496" s="1316">
        <v>0</v>
      </c>
      <c r="G496" s="1316">
        <v>0</v>
      </c>
      <c r="H496" s="1316"/>
      <c r="I496" s="1316">
        <v>0</v>
      </c>
      <c r="J496" s="1316"/>
      <c r="K496" s="1316">
        <v>0</v>
      </c>
      <c r="L496" s="1316">
        <v>0</v>
      </c>
      <c r="M496" s="1316">
        <f>F496+G496+H496+I496+J496+K496+L496</f>
        <v>0</v>
      </c>
    </row>
    <row r="497" spans="1:13" ht="18" customHeight="1">
      <c r="A497" s="1626"/>
      <c r="B497" s="1599"/>
      <c r="C497" s="1600"/>
      <c r="D497" s="1602"/>
      <c r="E497" s="1603" t="s">
        <v>706</v>
      </c>
      <c r="F497" s="1502"/>
      <c r="G497" s="1502"/>
      <c r="H497" s="1502"/>
      <c r="I497" s="1502"/>
      <c r="J497" s="1502"/>
      <c r="K497" s="1502"/>
      <c r="L497" s="1502"/>
      <c r="M497" s="1502"/>
    </row>
    <row r="498" spans="1:13" ht="41.25" customHeight="1">
      <c r="A498" s="1626"/>
      <c r="B498" s="1627"/>
      <c r="C498" s="1628"/>
      <c r="D498" s="1602">
        <v>1</v>
      </c>
      <c r="E498" s="1320" t="s">
        <v>1036</v>
      </c>
      <c r="F498" s="1502">
        <v>0</v>
      </c>
      <c r="G498" s="1502">
        <v>0</v>
      </c>
      <c r="H498" s="1502"/>
      <c r="I498" s="1502">
        <v>0</v>
      </c>
      <c r="J498" s="1502"/>
      <c r="K498" s="1502">
        <v>0</v>
      </c>
      <c r="L498" s="1502">
        <v>0</v>
      </c>
      <c r="M498" s="1502">
        <f>SUM(F498:L498)</f>
        <v>0</v>
      </c>
    </row>
    <row r="499" spans="1:13" ht="45" customHeight="1">
      <c r="A499" s="1616">
        <v>17</v>
      </c>
      <c r="B499" s="1607">
        <v>900</v>
      </c>
      <c r="C499" s="1606"/>
      <c r="D499" s="1608"/>
      <c r="E499" s="1629" t="s">
        <v>522</v>
      </c>
      <c r="F499" s="1609">
        <f aca="true" t="shared" si="85" ref="F499:L499">F500+F510+F520+F530+F540</f>
        <v>0</v>
      </c>
      <c r="G499" s="1609">
        <f t="shared" si="85"/>
        <v>0</v>
      </c>
      <c r="H499" s="1609">
        <f t="shared" si="85"/>
        <v>0</v>
      </c>
      <c r="I499" s="1609">
        <f t="shared" si="85"/>
        <v>0</v>
      </c>
      <c r="J499" s="1609">
        <f t="shared" si="85"/>
        <v>0</v>
      </c>
      <c r="K499" s="1609">
        <f t="shared" si="85"/>
        <v>0</v>
      </c>
      <c r="L499" s="1609">
        <f t="shared" si="85"/>
        <v>2526580</v>
      </c>
      <c r="M499" s="1609">
        <f>SUM(F499:L499)</f>
        <v>2526580</v>
      </c>
    </row>
    <row r="500" spans="1:13" ht="36" customHeight="1">
      <c r="A500" s="1622"/>
      <c r="B500" s="1615">
        <v>90001</v>
      </c>
      <c r="C500" s="1595"/>
      <c r="D500" s="1596"/>
      <c r="E500" s="1597" t="s">
        <v>97</v>
      </c>
      <c r="F500" s="1598">
        <f aca="true" t="shared" si="86" ref="F500:L500">F501+F507</f>
        <v>0</v>
      </c>
      <c r="G500" s="1598">
        <f t="shared" si="86"/>
        <v>0</v>
      </c>
      <c r="H500" s="1598">
        <f t="shared" si="86"/>
        <v>0</v>
      </c>
      <c r="I500" s="1598">
        <f t="shared" si="86"/>
        <v>0</v>
      </c>
      <c r="J500" s="1598">
        <f t="shared" si="86"/>
        <v>0</v>
      </c>
      <c r="K500" s="1598">
        <f t="shared" si="86"/>
        <v>0</v>
      </c>
      <c r="L500" s="1598">
        <f t="shared" si="86"/>
        <v>1221265</v>
      </c>
      <c r="M500" s="1598">
        <f>SUM(F500:L500)</f>
        <v>1221265</v>
      </c>
    </row>
    <row r="501" spans="1:13" ht="24" customHeight="1">
      <c r="A501" s="1626"/>
      <c r="B501" s="1599"/>
      <c r="C501" s="1600" t="s">
        <v>602</v>
      </c>
      <c r="D501" s="1601"/>
      <c r="E501" s="1315" t="s">
        <v>1030</v>
      </c>
      <c r="F501" s="1316">
        <v>0</v>
      </c>
      <c r="G501" s="1316">
        <v>0</v>
      </c>
      <c r="H501" s="1316">
        <v>0</v>
      </c>
      <c r="I501" s="1316">
        <v>0</v>
      </c>
      <c r="J501" s="1316">
        <v>0</v>
      </c>
      <c r="K501" s="1316">
        <v>0</v>
      </c>
      <c r="L501" s="1316">
        <v>0</v>
      </c>
      <c r="M501" s="1502">
        <f>F501+G501+H501+I501+J501+K501+L501</f>
        <v>0</v>
      </c>
    </row>
    <row r="502" spans="1:13" ht="18" customHeight="1">
      <c r="A502" s="1626"/>
      <c r="B502" s="1599"/>
      <c r="C502" s="1600"/>
      <c r="D502" s="1602"/>
      <c r="E502" s="1603" t="s">
        <v>706</v>
      </c>
      <c r="F502" s="1502"/>
      <c r="G502" s="1502"/>
      <c r="H502" s="1502"/>
      <c r="I502" s="1502"/>
      <c r="J502" s="1502"/>
      <c r="K502" s="1502"/>
      <c r="L502" s="1502"/>
      <c r="M502" s="1502"/>
    </row>
    <row r="503" spans="1:13" ht="24" customHeight="1">
      <c r="A503" s="1626"/>
      <c r="B503" s="1599"/>
      <c r="C503" s="1600"/>
      <c r="D503" s="1602">
        <v>1</v>
      </c>
      <c r="E503" s="1604" t="s">
        <v>1031</v>
      </c>
      <c r="F503" s="1502">
        <v>0</v>
      </c>
      <c r="G503" s="1502">
        <v>0</v>
      </c>
      <c r="H503" s="1502">
        <v>0</v>
      </c>
      <c r="I503" s="1502">
        <v>0</v>
      </c>
      <c r="J503" s="1502">
        <v>0</v>
      </c>
      <c r="K503" s="1502">
        <v>0</v>
      </c>
      <c r="L503" s="1502">
        <v>0</v>
      </c>
      <c r="M503" s="1502">
        <f>F503+G503+H503+I503+J503+K503+L503</f>
        <v>0</v>
      </c>
    </row>
    <row r="504" spans="1:13" ht="24" customHeight="1">
      <c r="A504" s="1626"/>
      <c r="B504" s="1599"/>
      <c r="C504" s="1600"/>
      <c r="D504" s="1602">
        <v>2</v>
      </c>
      <c r="E504" s="1320" t="s">
        <v>1032</v>
      </c>
      <c r="F504" s="1502">
        <v>0</v>
      </c>
      <c r="G504" s="1502">
        <v>0</v>
      </c>
      <c r="H504" s="1502">
        <v>0</v>
      </c>
      <c r="I504" s="1502">
        <v>0</v>
      </c>
      <c r="J504" s="1502">
        <v>0</v>
      </c>
      <c r="K504" s="1502">
        <v>0</v>
      </c>
      <c r="L504" s="1502">
        <v>0</v>
      </c>
      <c r="M504" s="1502">
        <f>F504+G504+H504+I504+J504+K504+L504</f>
        <v>0</v>
      </c>
    </row>
    <row r="505" spans="1:13" ht="24" customHeight="1">
      <c r="A505" s="1626"/>
      <c r="B505" s="1599"/>
      <c r="C505" s="1600"/>
      <c r="D505" s="1602">
        <v>3</v>
      </c>
      <c r="E505" s="1320" t="s">
        <v>1033</v>
      </c>
      <c r="F505" s="1502">
        <v>0</v>
      </c>
      <c r="G505" s="1502">
        <v>0</v>
      </c>
      <c r="H505" s="1502">
        <v>0</v>
      </c>
      <c r="I505" s="1502">
        <v>0</v>
      </c>
      <c r="J505" s="1502">
        <v>0</v>
      </c>
      <c r="K505" s="1502">
        <v>0</v>
      </c>
      <c r="L505" s="1502">
        <v>0</v>
      </c>
      <c r="M505" s="1502">
        <f>F505+G505+H505+I505+J505+K505+L505</f>
        <v>0</v>
      </c>
    </row>
    <row r="506" spans="1:13" ht="24" customHeight="1">
      <c r="A506" s="1626"/>
      <c r="B506" s="1599"/>
      <c r="C506" s="1600"/>
      <c r="D506" s="1602">
        <v>4</v>
      </c>
      <c r="E506" s="1320" t="s">
        <v>1034</v>
      </c>
      <c r="F506" s="1502">
        <v>0</v>
      </c>
      <c r="G506" s="1502">
        <v>0</v>
      </c>
      <c r="H506" s="1502">
        <v>0</v>
      </c>
      <c r="I506" s="1502">
        <v>0</v>
      </c>
      <c r="J506" s="1502">
        <v>0</v>
      </c>
      <c r="K506" s="1502">
        <v>0</v>
      </c>
      <c r="L506" s="1502">
        <v>0</v>
      </c>
      <c r="M506" s="1502">
        <f>F506+G506+H506+I506+J506+K506+L506</f>
        <v>0</v>
      </c>
    </row>
    <row r="507" spans="1:13" ht="24" customHeight="1">
      <c r="A507" s="1626"/>
      <c r="B507" s="1599"/>
      <c r="C507" s="1605" t="s">
        <v>121</v>
      </c>
      <c r="D507" s="1601"/>
      <c r="E507" s="1315" t="s">
        <v>1035</v>
      </c>
      <c r="F507" s="1316">
        <v>0</v>
      </c>
      <c r="G507" s="1316">
        <v>0</v>
      </c>
      <c r="H507" s="1316">
        <v>0</v>
      </c>
      <c r="I507" s="1316">
        <v>0</v>
      </c>
      <c r="J507" s="1316">
        <v>0</v>
      </c>
      <c r="K507" s="1316">
        <v>0</v>
      </c>
      <c r="L507" s="1316">
        <f>L509</f>
        <v>1221265</v>
      </c>
      <c r="M507" s="1316">
        <f>F507+G507+H507+I507+J507+K507+L507</f>
        <v>1221265</v>
      </c>
    </row>
    <row r="508" spans="1:13" ht="18" customHeight="1">
      <c r="A508" s="1626"/>
      <c r="B508" s="1599"/>
      <c r="C508" s="1600"/>
      <c r="D508" s="1602"/>
      <c r="E508" s="1603" t="s">
        <v>706</v>
      </c>
      <c r="F508" s="1502"/>
      <c r="G508" s="1502"/>
      <c r="H508" s="1502"/>
      <c r="I508" s="1502"/>
      <c r="J508" s="1502"/>
      <c r="K508" s="1502"/>
      <c r="L508" s="1502"/>
      <c r="M508" s="1502"/>
    </row>
    <row r="509" spans="1:13" s="1630" customFormat="1" ht="41.25" customHeight="1">
      <c r="A509" s="1626"/>
      <c r="B509" s="1599"/>
      <c r="C509" s="1600"/>
      <c r="D509" s="1602">
        <v>1</v>
      </c>
      <c r="E509" s="1320" t="s">
        <v>1036</v>
      </c>
      <c r="F509" s="1502">
        <v>0</v>
      </c>
      <c r="G509" s="1502">
        <v>0</v>
      </c>
      <c r="H509" s="1502">
        <v>0</v>
      </c>
      <c r="I509" s="1502">
        <v>0</v>
      </c>
      <c r="J509" s="1502">
        <v>0</v>
      </c>
      <c r="K509" s="1502">
        <v>0</v>
      </c>
      <c r="L509" s="1502">
        <f>1200000+21265</f>
        <v>1221265</v>
      </c>
      <c r="M509" s="1502">
        <f>SUM(F509:L509)</f>
        <v>1221265</v>
      </c>
    </row>
    <row r="510" spans="1:13" ht="36" customHeight="1">
      <c r="A510" s="1622"/>
      <c r="B510" s="1615">
        <v>90003</v>
      </c>
      <c r="C510" s="1595"/>
      <c r="D510" s="1596"/>
      <c r="E510" s="1597" t="s">
        <v>523</v>
      </c>
      <c r="F510" s="1598">
        <f aca="true" t="shared" si="87" ref="F510:K510">F511+F517</f>
        <v>0</v>
      </c>
      <c r="G510" s="1598">
        <f t="shared" si="87"/>
        <v>0</v>
      </c>
      <c r="H510" s="1598"/>
      <c r="I510" s="1598">
        <f t="shared" si="87"/>
        <v>0</v>
      </c>
      <c r="J510" s="1598"/>
      <c r="K510" s="1598">
        <f t="shared" si="87"/>
        <v>0</v>
      </c>
      <c r="L510" s="1598">
        <f>L511+L517</f>
        <v>440000</v>
      </c>
      <c r="M510" s="1598">
        <f>SUM(F510:L510)</f>
        <v>440000</v>
      </c>
    </row>
    <row r="511" spans="1:13" ht="24" customHeight="1">
      <c r="A511" s="1626"/>
      <c r="B511" s="1599"/>
      <c r="C511" s="1600" t="s">
        <v>602</v>
      </c>
      <c r="D511" s="1601"/>
      <c r="E511" s="1315" t="s">
        <v>1030</v>
      </c>
      <c r="F511" s="1316">
        <v>0</v>
      </c>
      <c r="G511" s="1316">
        <v>0</v>
      </c>
      <c r="H511" s="1316"/>
      <c r="I511" s="1316">
        <v>0</v>
      </c>
      <c r="J511" s="1316"/>
      <c r="K511" s="1316">
        <v>0</v>
      </c>
      <c r="L511" s="1316">
        <f>220000+190000+30000</f>
        <v>440000</v>
      </c>
      <c r="M511" s="1502">
        <f>F511+G511+H511+I511+J511+K511+L511</f>
        <v>440000</v>
      </c>
    </row>
    <row r="512" spans="1:13" ht="18" customHeight="1">
      <c r="A512" s="1626"/>
      <c r="B512" s="1599"/>
      <c r="C512" s="1600"/>
      <c r="D512" s="1602"/>
      <c r="E512" s="1603" t="s">
        <v>706</v>
      </c>
      <c r="F512" s="1502"/>
      <c r="G512" s="1502"/>
      <c r="H512" s="1502"/>
      <c r="I512" s="1502"/>
      <c r="J512" s="1502"/>
      <c r="K512" s="1502"/>
      <c r="L512" s="1502"/>
      <c r="M512" s="1502"/>
    </row>
    <row r="513" spans="1:13" ht="24" customHeight="1">
      <c r="A513" s="1626"/>
      <c r="B513" s="1599"/>
      <c r="C513" s="1600"/>
      <c r="D513" s="1602">
        <v>1</v>
      </c>
      <c r="E513" s="1604" t="s">
        <v>1031</v>
      </c>
      <c r="F513" s="1502">
        <v>0</v>
      </c>
      <c r="G513" s="1502">
        <v>0</v>
      </c>
      <c r="H513" s="1502"/>
      <c r="I513" s="1502">
        <v>0</v>
      </c>
      <c r="J513" s="1502"/>
      <c r="K513" s="1502">
        <v>0</v>
      </c>
      <c r="L513" s="1502">
        <v>0</v>
      </c>
      <c r="M513" s="1502">
        <f>F513+G513+H513+I513+J513+K513+L513</f>
        <v>0</v>
      </c>
    </row>
    <row r="514" spans="1:13" ht="24" customHeight="1">
      <c r="A514" s="1626"/>
      <c r="B514" s="1599"/>
      <c r="C514" s="1600"/>
      <c r="D514" s="1602">
        <v>2</v>
      </c>
      <c r="E514" s="1320" t="s">
        <v>1032</v>
      </c>
      <c r="F514" s="1502">
        <v>0</v>
      </c>
      <c r="G514" s="1502">
        <v>0</v>
      </c>
      <c r="H514" s="1502"/>
      <c r="I514" s="1502">
        <v>0</v>
      </c>
      <c r="J514" s="1502"/>
      <c r="K514" s="1502">
        <v>0</v>
      </c>
      <c r="L514" s="1502">
        <v>0</v>
      </c>
      <c r="M514" s="1502">
        <f>F514+G514+H514+I514+J514+K514+L514</f>
        <v>0</v>
      </c>
    </row>
    <row r="515" spans="1:13" ht="24" customHeight="1">
      <c r="A515" s="1626"/>
      <c r="B515" s="1599"/>
      <c r="C515" s="1600"/>
      <c r="D515" s="1602">
        <v>3</v>
      </c>
      <c r="E515" s="1320" t="s">
        <v>1033</v>
      </c>
      <c r="F515" s="1502">
        <v>0</v>
      </c>
      <c r="G515" s="1502">
        <v>0</v>
      </c>
      <c r="H515" s="1502"/>
      <c r="I515" s="1502">
        <v>0</v>
      </c>
      <c r="J515" s="1502"/>
      <c r="K515" s="1502">
        <v>0</v>
      </c>
      <c r="L515" s="1502">
        <v>0</v>
      </c>
      <c r="M515" s="1502">
        <f>F515+G515+H515+I515+J515+K515+L515</f>
        <v>0</v>
      </c>
    </row>
    <row r="516" spans="1:13" ht="24" customHeight="1">
      <c r="A516" s="1626"/>
      <c r="B516" s="1599"/>
      <c r="C516" s="1600"/>
      <c r="D516" s="1602">
        <v>4</v>
      </c>
      <c r="E516" s="1320" t="s">
        <v>1034</v>
      </c>
      <c r="F516" s="1502">
        <v>0</v>
      </c>
      <c r="G516" s="1502">
        <v>0</v>
      </c>
      <c r="H516" s="1502"/>
      <c r="I516" s="1502">
        <v>0</v>
      </c>
      <c r="J516" s="1502"/>
      <c r="K516" s="1502">
        <v>0</v>
      </c>
      <c r="L516" s="1502">
        <v>0</v>
      </c>
      <c r="M516" s="1502">
        <f>F516+G516+H516+I516+J516+K516+L516</f>
        <v>0</v>
      </c>
    </row>
    <row r="517" spans="1:13" ht="24" customHeight="1">
      <c r="A517" s="1626"/>
      <c r="B517" s="1599"/>
      <c r="C517" s="1605" t="s">
        <v>121</v>
      </c>
      <c r="D517" s="1601"/>
      <c r="E517" s="1315" t="s">
        <v>1035</v>
      </c>
      <c r="F517" s="1316">
        <v>0</v>
      </c>
      <c r="G517" s="1316">
        <v>0</v>
      </c>
      <c r="H517" s="1316"/>
      <c r="I517" s="1316">
        <v>0</v>
      </c>
      <c r="J517" s="1316"/>
      <c r="K517" s="1316">
        <v>0</v>
      </c>
      <c r="L517" s="1316">
        <f>L519</f>
        <v>0</v>
      </c>
      <c r="M517" s="1316">
        <f>F517+G517+H517+I517+J517+K517+L517</f>
        <v>0</v>
      </c>
    </row>
    <row r="518" spans="1:13" ht="18" customHeight="1">
      <c r="A518" s="1626"/>
      <c r="B518" s="1599"/>
      <c r="C518" s="1600"/>
      <c r="D518" s="1602"/>
      <c r="E518" s="1603" t="s">
        <v>706</v>
      </c>
      <c r="F518" s="1502"/>
      <c r="G518" s="1502"/>
      <c r="H518" s="1502"/>
      <c r="I518" s="1502"/>
      <c r="J518" s="1502"/>
      <c r="K518" s="1502"/>
      <c r="L518" s="1502"/>
      <c r="M518" s="1502"/>
    </row>
    <row r="519" spans="1:13" s="1630" customFormat="1" ht="41.25" customHeight="1">
      <c r="A519" s="1626"/>
      <c r="B519" s="1599"/>
      <c r="C519" s="1600"/>
      <c r="D519" s="1602">
        <v>1</v>
      </c>
      <c r="E519" s="1320" t="s">
        <v>1036</v>
      </c>
      <c r="F519" s="1502">
        <v>0</v>
      </c>
      <c r="G519" s="1502">
        <v>0</v>
      </c>
      <c r="H519" s="1502"/>
      <c r="I519" s="1502">
        <v>0</v>
      </c>
      <c r="J519" s="1502"/>
      <c r="K519" s="1502">
        <v>0</v>
      </c>
      <c r="L519" s="1502">
        <v>0</v>
      </c>
      <c r="M519" s="1502">
        <f>SUM(F519:L519)</f>
        <v>0</v>
      </c>
    </row>
    <row r="520" spans="1:13" ht="36" customHeight="1">
      <c r="A520" s="1622"/>
      <c r="B520" s="1615">
        <v>90004</v>
      </c>
      <c r="C520" s="1595"/>
      <c r="D520" s="1596"/>
      <c r="E520" s="1597" t="s">
        <v>774</v>
      </c>
      <c r="F520" s="1598">
        <f aca="true" t="shared" si="88" ref="F520:L520">F521+F527</f>
        <v>0</v>
      </c>
      <c r="G520" s="1598">
        <f t="shared" si="88"/>
        <v>0</v>
      </c>
      <c r="H520" s="1598">
        <f t="shared" si="88"/>
        <v>0</v>
      </c>
      <c r="I520" s="1598">
        <f t="shared" si="88"/>
        <v>0</v>
      </c>
      <c r="J520" s="1598">
        <f t="shared" si="88"/>
        <v>0</v>
      </c>
      <c r="K520" s="1598">
        <f t="shared" si="88"/>
        <v>0</v>
      </c>
      <c r="L520" s="1598">
        <f t="shared" si="88"/>
        <v>150000</v>
      </c>
      <c r="M520" s="1598">
        <f>SUM(F520:L520)</f>
        <v>150000</v>
      </c>
    </row>
    <row r="521" spans="1:13" ht="24" customHeight="1">
      <c r="A521" s="1626"/>
      <c r="B521" s="1599"/>
      <c r="C521" s="1600" t="s">
        <v>602</v>
      </c>
      <c r="D521" s="1601"/>
      <c r="E521" s="1315" t="s">
        <v>1030</v>
      </c>
      <c r="F521" s="1316">
        <v>0</v>
      </c>
      <c r="G521" s="1316">
        <v>0</v>
      </c>
      <c r="H521" s="1316">
        <v>0</v>
      </c>
      <c r="I521" s="1316">
        <v>0</v>
      </c>
      <c r="J521" s="1316">
        <v>0</v>
      </c>
      <c r="K521" s="1316">
        <v>0</v>
      </c>
      <c r="L521" s="1316">
        <f>70000+20000+50000+10000</f>
        <v>150000</v>
      </c>
      <c r="M521" s="1502">
        <f>F521+G521+H521+I521+J521+K521+L521</f>
        <v>150000</v>
      </c>
    </row>
    <row r="522" spans="1:13" ht="18" customHeight="1">
      <c r="A522" s="1626"/>
      <c r="B522" s="1599"/>
      <c r="C522" s="1600"/>
      <c r="D522" s="1602"/>
      <c r="E522" s="1603" t="s">
        <v>706</v>
      </c>
      <c r="F522" s="1502"/>
      <c r="G522" s="1502"/>
      <c r="H522" s="1502"/>
      <c r="I522" s="1502"/>
      <c r="J522" s="1502"/>
      <c r="K522" s="1502"/>
      <c r="L522" s="1502"/>
      <c r="M522" s="1502"/>
    </row>
    <row r="523" spans="1:13" ht="24" customHeight="1">
      <c r="A523" s="1626"/>
      <c r="B523" s="1599"/>
      <c r="C523" s="1600"/>
      <c r="D523" s="1602">
        <v>1</v>
      </c>
      <c r="E523" s="1604" t="s">
        <v>1031</v>
      </c>
      <c r="F523" s="1502">
        <v>0</v>
      </c>
      <c r="G523" s="1502">
        <v>0</v>
      </c>
      <c r="H523" s="1502">
        <v>0</v>
      </c>
      <c r="I523" s="1502">
        <v>0</v>
      </c>
      <c r="J523" s="1502">
        <v>0</v>
      </c>
      <c r="K523" s="1502">
        <v>0</v>
      </c>
      <c r="L523" s="1502">
        <v>45000</v>
      </c>
      <c r="M523" s="1502">
        <f>F523+G523+H523+I523+J523+K523+L523</f>
        <v>45000</v>
      </c>
    </row>
    <row r="524" spans="1:13" ht="24" customHeight="1">
      <c r="A524" s="1626"/>
      <c r="B524" s="1599"/>
      <c r="C524" s="1600"/>
      <c r="D524" s="1602">
        <v>2</v>
      </c>
      <c r="E524" s="1320" t="s">
        <v>1032</v>
      </c>
      <c r="F524" s="1502">
        <v>0</v>
      </c>
      <c r="G524" s="1502">
        <v>0</v>
      </c>
      <c r="H524" s="1502">
        <v>0</v>
      </c>
      <c r="I524" s="1502">
        <v>0</v>
      </c>
      <c r="J524" s="1502">
        <v>0</v>
      </c>
      <c r="K524" s="1502">
        <v>0</v>
      </c>
      <c r="L524" s="1502">
        <v>0</v>
      </c>
      <c r="M524" s="1502">
        <f>F524+G524+H524+I524+J524+K524+L524</f>
        <v>0</v>
      </c>
    </row>
    <row r="525" spans="1:13" ht="24" customHeight="1">
      <c r="A525" s="1626"/>
      <c r="B525" s="1599"/>
      <c r="C525" s="1600"/>
      <c r="D525" s="1602">
        <v>3</v>
      </c>
      <c r="E525" s="1320" t="s">
        <v>1033</v>
      </c>
      <c r="F525" s="1502">
        <v>0</v>
      </c>
      <c r="G525" s="1502">
        <v>0</v>
      </c>
      <c r="H525" s="1502">
        <v>0</v>
      </c>
      <c r="I525" s="1502">
        <v>0</v>
      </c>
      <c r="J525" s="1502">
        <v>0</v>
      </c>
      <c r="K525" s="1502">
        <v>0</v>
      </c>
      <c r="L525" s="1502">
        <v>0</v>
      </c>
      <c r="M525" s="1502">
        <f>F525+G525+H525+I525+J525+K525+L525</f>
        <v>0</v>
      </c>
    </row>
    <row r="526" spans="1:13" ht="24" customHeight="1">
      <c r="A526" s="1626"/>
      <c r="B526" s="1599"/>
      <c r="C526" s="1600"/>
      <c r="D526" s="1602">
        <v>4</v>
      </c>
      <c r="E526" s="1320" t="s">
        <v>1034</v>
      </c>
      <c r="F526" s="1502">
        <v>0</v>
      </c>
      <c r="G526" s="1502">
        <v>0</v>
      </c>
      <c r="H526" s="1502">
        <v>0</v>
      </c>
      <c r="I526" s="1502">
        <v>0</v>
      </c>
      <c r="J526" s="1502">
        <v>0</v>
      </c>
      <c r="K526" s="1502">
        <v>0</v>
      </c>
      <c r="L526" s="1502">
        <v>0</v>
      </c>
      <c r="M526" s="1502">
        <f>F526+G526+H526+I526+J526+K526+L526</f>
        <v>0</v>
      </c>
    </row>
    <row r="527" spans="1:13" ht="24" customHeight="1">
      <c r="A527" s="1626"/>
      <c r="B527" s="1599"/>
      <c r="C527" s="1605" t="s">
        <v>121</v>
      </c>
      <c r="D527" s="1601"/>
      <c r="E527" s="1315" t="s">
        <v>1035</v>
      </c>
      <c r="F527" s="1316">
        <v>0</v>
      </c>
      <c r="G527" s="1316">
        <v>0</v>
      </c>
      <c r="H527" s="1316">
        <v>0</v>
      </c>
      <c r="I527" s="1316">
        <v>0</v>
      </c>
      <c r="J527" s="1316">
        <v>0</v>
      </c>
      <c r="K527" s="1316">
        <v>0</v>
      </c>
      <c r="L527" s="1316">
        <v>0</v>
      </c>
      <c r="M527" s="1316">
        <f>F527+G527+H527+I527+J527+K527+L527</f>
        <v>0</v>
      </c>
    </row>
    <row r="528" spans="1:13" ht="18" customHeight="1">
      <c r="A528" s="1626"/>
      <c r="B528" s="1599"/>
      <c r="C528" s="1600"/>
      <c r="D528" s="1602"/>
      <c r="E528" s="1603" t="s">
        <v>706</v>
      </c>
      <c r="F528" s="1502"/>
      <c r="G528" s="1502"/>
      <c r="H528" s="1502"/>
      <c r="I528" s="1502"/>
      <c r="J528" s="1502"/>
      <c r="K528" s="1502"/>
      <c r="L528" s="1502"/>
      <c r="M528" s="1502"/>
    </row>
    <row r="529" spans="1:13" s="1630" customFormat="1" ht="41.25" customHeight="1">
      <c r="A529" s="1626"/>
      <c r="B529" s="1599"/>
      <c r="C529" s="1600"/>
      <c r="D529" s="1602">
        <v>1</v>
      </c>
      <c r="E529" s="1320" t="s">
        <v>1036</v>
      </c>
      <c r="F529" s="1502">
        <v>0</v>
      </c>
      <c r="G529" s="1502">
        <v>0</v>
      </c>
      <c r="H529" s="1502">
        <v>0</v>
      </c>
      <c r="I529" s="1502">
        <v>0</v>
      </c>
      <c r="J529" s="1502">
        <v>0</v>
      </c>
      <c r="K529" s="1502">
        <v>0</v>
      </c>
      <c r="L529" s="1502">
        <v>0</v>
      </c>
      <c r="M529" s="1502">
        <f>SUM(F529:L529)</f>
        <v>0</v>
      </c>
    </row>
    <row r="530" spans="1:13" ht="36" customHeight="1">
      <c r="A530" s="1622"/>
      <c r="B530" s="1615">
        <v>90015</v>
      </c>
      <c r="C530" s="1595"/>
      <c r="D530" s="1596"/>
      <c r="E530" s="1597" t="s">
        <v>102</v>
      </c>
      <c r="F530" s="1598">
        <f aca="true" t="shared" si="89" ref="F530:L530">F531+F537</f>
        <v>0</v>
      </c>
      <c r="G530" s="1598">
        <f t="shared" si="89"/>
        <v>0</v>
      </c>
      <c r="H530" s="1598">
        <f t="shared" si="89"/>
        <v>0</v>
      </c>
      <c r="I530" s="1598">
        <f t="shared" si="89"/>
        <v>0</v>
      </c>
      <c r="J530" s="1598">
        <f t="shared" si="89"/>
        <v>0</v>
      </c>
      <c r="K530" s="1598">
        <f t="shared" si="89"/>
        <v>0</v>
      </c>
      <c r="L530" s="1598">
        <f t="shared" si="89"/>
        <v>350315</v>
      </c>
      <c r="M530" s="1598">
        <f>SUM(F530:L530)</f>
        <v>350315</v>
      </c>
    </row>
    <row r="531" spans="1:13" ht="24" customHeight="1">
      <c r="A531" s="1626"/>
      <c r="B531" s="1599"/>
      <c r="C531" s="1600" t="s">
        <v>602</v>
      </c>
      <c r="D531" s="1601"/>
      <c r="E531" s="1315" t="s">
        <v>1030</v>
      </c>
      <c r="F531" s="1316">
        <v>0</v>
      </c>
      <c r="G531" s="1316">
        <v>0</v>
      </c>
      <c r="H531" s="1316">
        <v>0</v>
      </c>
      <c r="I531" s="1316">
        <v>0</v>
      </c>
      <c r="J531" s="1316">
        <v>0</v>
      </c>
      <c r="K531" s="1316">
        <v>0</v>
      </c>
      <c r="L531" s="1316">
        <f>190000+150000</f>
        <v>340000</v>
      </c>
      <c r="M531" s="1502">
        <f>F531+G531+H531+I531+J531+K531+L531</f>
        <v>340000</v>
      </c>
    </row>
    <row r="532" spans="1:13" ht="18" customHeight="1">
      <c r="A532" s="1626"/>
      <c r="B532" s="1599"/>
      <c r="C532" s="1600"/>
      <c r="D532" s="1602"/>
      <c r="E532" s="1603" t="s">
        <v>706</v>
      </c>
      <c r="F532" s="1502"/>
      <c r="G532" s="1502"/>
      <c r="H532" s="1502"/>
      <c r="I532" s="1502"/>
      <c r="J532" s="1502"/>
      <c r="K532" s="1502"/>
      <c r="L532" s="1502"/>
      <c r="M532" s="1502"/>
    </row>
    <row r="533" spans="1:13" ht="24" customHeight="1">
      <c r="A533" s="1626"/>
      <c r="B533" s="1599"/>
      <c r="C533" s="1600"/>
      <c r="D533" s="1602">
        <v>1</v>
      </c>
      <c r="E533" s="1604" t="s">
        <v>1031</v>
      </c>
      <c r="F533" s="1502">
        <v>0</v>
      </c>
      <c r="G533" s="1502">
        <v>0</v>
      </c>
      <c r="H533" s="1502">
        <v>0</v>
      </c>
      <c r="I533" s="1502">
        <v>0</v>
      </c>
      <c r="J533" s="1502">
        <v>0</v>
      </c>
      <c r="K533" s="1502">
        <v>0</v>
      </c>
      <c r="L533" s="1502">
        <v>0</v>
      </c>
      <c r="M533" s="1502">
        <f>F533+G533+H533+I533+J533+K533+L533</f>
        <v>0</v>
      </c>
    </row>
    <row r="534" spans="1:13" ht="24" customHeight="1">
      <c r="A534" s="1626"/>
      <c r="B534" s="1599"/>
      <c r="C534" s="1600"/>
      <c r="D534" s="1602">
        <v>2</v>
      </c>
      <c r="E534" s="1320" t="s">
        <v>1032</v>
      </c>
      <c r="F534" s="1502">
        <v>0</v>
      </c>
      <c r="G534" s="1502">
        <v>0</v>
      </c>
      <c r="H534" s="1502">
        <v>0</v>
      </c>
      <c r="I534" s="1502">
        <v>0</v>
      </c>
      <c r="J534" s="1502">
        <v>0</v>
      </c>
      <c r="K534" s="1502">
        <v>0</v>
      </c>
      <c r="L534" s="1502">
        <v>0</v>
      </c>
      <c r="M534" s="1502">
        <f>F534+G534+H534+I534+J534+K534+L534</f>
        <v>0</v>
      </c>
    </row>
    <row r="535" spans="1:13" ht="24" customHeight="1">
      <c r="A535" s="1626"/>
      <c r="B535" s="1599"/>
      <c r="C535" s="1600"/>
      <c r="D535" s="1602">
        <v>3</v>
      </c>
      <c r="E535" s="1320" t="s">
        <v>1033</v>
      </c>
      <c r="F535" s="1502">
        <v>0</v>
      </c>
      <c r="G535" s="1502">
        <v>0</v>
      </c>
      <c r="H535" s="1502">
        <v>0</v>
      </c>
      <c r="I535" s="1502">
        <v>0</v>
      </c>
      <c r="J535" s="1502">
        <v>0</v>
      </c>
      <c r="K535" s="1502">
        <v>0</v>
      </c>
      <c r="L535" s="1502">
        <v>0</v>
      </c>
      <c r="M535" s="1502">
        <f>F535+G535+H535+I535+J535+K535+L535</f>
        <v>0</v>
      </c>
    </row>
    <row r="536" spans="1:13" ht="24" customHeight="1">
      <c r="A536" s="1626"/>
      <c r="B536" s="1599"/>
      <c r="C536" s="1600"/>
      <c r="D536" s="1602">
        <v>4</v>
      </c>
      <c r="E536" s="1320" t="s">
        <v>1034</v>
      </c>
      <c r="F536" s="1502">
        <v>0</v>
      </c>
      <c r="G536" s="1502">
        <v>0</v>
      </c>
      <c r="H536" s="1502">
        <v>0</v>
      </c>
      <c r="I536" s="1502">
        <v>0</v>
      </c>
      <c r="J536" s="1502">
        <v>0</v>
      </c>
      <c r="K536" s="1502">
        <v>0</v>
      </c>
      <c r="L536" s="1502">
        <v>0</v>
      </c>
      <c r="M536" s="1502">
        <f>F536+G536+H536+I536+J536+K536+L536</f>
        <v>0</v>
      </c>
    </row>
    <row r="537" spans="1:13" ht="24" customHeight="1">
      <c r="A537" s="1626"/>
      <c r="B537" s="1599"/>
      <c r="C537" s="1605" t="s">
        <v>121</v>
      </c>
      <c r="D537" s="1601"/>
      <c r="E537" s="1315" t="s">
        <v>1035</v>
      </c>
      <c r="F537" s="1316">
        <v>0</v>
      </c>
      <c r="G537" s="1316">
        <v>0</v>
      </c>
      <c r="H537" s="1316">
        <v>0</v>
      </c>
      <c r="I537" s="1316">
        <v>0</v>
      </c>
      <c r="J537" s="1316">
        <v>0</v>
      </c>
      <c r="K537" s="1316">
        <v>0</v>
      </c>
      <c r="L537" s="1316">
        <f>L539</f>
        <v>10315</v>
      </c>
      <c r="M537" s="1316">
        <f>F537+G537+H537+I537+J537+K537+L537</f>
        <v>10315</v>
      </c>
    </row>
    <row r="538" spans="1:13" ht="18" customHeight="1">
      <c r="A538" s="1626"/>
      <c r="B538" s="1599"/>
      <c r="C538" s="1600"/>
      <c r="D538" s="1602"/>
      <c r="E538" s="1603" t="s">
        <v>706</v>
      </c>
      <c r="F538" s="1502"/>
      <c r="G538" s="1502"/>
      <c r="H538" s="1502"/>
      <c r="I538" s="1502"/>
      <c r="J538" s="1502"/>
      <c r="K538" s="1502"/>
      <c r="L538" s="1502"/>
      <c r="M538" s="1502"/>
    </row>
    <row r="539" spans="1:13" s="1630" customFormat="1" ht="41.25" customHeight="1">
      <c r="A539" s="1626"/>
      <c r="B539" s="1599"/>
      <c r="C539" s="1600"/>
      <c r="D539" s="1602">
        <v>1</v>
      </c>
      <c r="E539" s="1320" t="s">
        <v>1036</v>
      </c>
      <c r="F539" s="1502">
        <v>0</v>
      </c>
      <c r="G539" s="1502">
        <v>0</v>
      </c>
      <c r="H539" s="1502">
        <v>0</v>
      </c>
      <c r="I539" s="1502">
        <v>0</v>
      </c>
      <c r="J539" s="1502">
        <v>0</v>
      </c>
      <c r="K539" s="1502">
        <v>0</v>
      </c>
      <c r="L539" s="1502">
        <f>10000+315</f>
        <v>10315</v>
      </c>
      <c r="M539" s="1502">
        <f>SUM(F539:L539)</f>
        <v>10315</v>
      </c>
    </row>
    <row r="540" spans="1:13" ht="36" customHeight="1">
      <c r="A540" s="1622"/>
      <c r="B540" s="1615">
        <v>90095</v>
      </c>
      <c r="C540" s="1595"/>
      <c r="D540" s="1596"/>
      <c r="E540" s="1597" t="s">
        <v>24</v>
      </c>
      <c r="F540" s="1598">
        <f aca="true" t="shared" si="90" ref="F540:L540">F541+F547</f>
        <v>0</v>
      </c>
      <c r="G540" s="1598">
        <f t="shared" si="90"/>
        <v>0</v>
      </c>
      <c r="H540" s="1598">
        <f>H541+H547</f>
        <v>0</v>
      </c>
      <c r="I540" s="1598">
        <f>I541+I547</f>
        <v>0</v>
      </c>
      <c r="J540" s="1598">
        <f>J541+J547</f>
        <v>0</v>
      </c>
      <c r="K540" s="1598">
        <f>K541+K547</f>
        <v>0</v>
      </c>
      <c r="L540" s="1598">
        <f t="shared" si="90"/>
        <v>365000</v>
      </c>
      <c r="M540" s="1598">
        <f>SUM(F540:L540)</f>
        <v>365000</v>
      </c>
    </row>
    <row r="541" spans="1:13" ht="24" customHeight="1">
      <c r="A541" s="1626"/>
      <c r="B541" s="1599"/>
      <c r="C541" s="1600" t="s">
        <v>602</v>
      </c>
      <c r="D541" s="1601"/>
      <c r="E541" s="1315" t="s">
        <v>1030</v>
      </c>
      <c r="F541" s="1316">
        <v>0</v>
      </c>
      <c r="G541" s="1316">
        <v>0</v>
      </c>
      <c r="H541" s="1316">
        <v>0</v>
      </c>
      <c r="I541" s="1316">
        <v>0</v>
      </c>
      <c r="J541" s="1316">
        <v>0</v>
      </c>
      <c r="K541" s="1316">
        <v>0</v>
      </c>
      <c r="L541" s="1316">
        <f>70000+6000+40000+7000+6000+6000+20000+30000+10000+20000</f>
        <v>215000</v>
      </c>
      <c r="M541" s="1502">
        <f>F541+G541+H541+I541+J541+K541+L541</f>
        <v>215000</v>
      </c>
    </row>
    <row r="542" spans="1:13" ht="18" customHeight="1">
      <c r="A542" s="1626"/>
      <c r="B542" s="1599"/>
      <c r="C542" s="1600"/>
      <c r="D542" s="1602"/>
      <c r="E542" s="1603" t="s">
        <v>706</v>
      </c>
      <c r="F542" s="1502"/>
      <c r="G542" s="1502"/>
      <c r="H542" s="1502"/>
      <c r="I542" s="1502"/>
      <c r="J542" s="1502"/>
      <c r="K542" s="1502"/>
      <c r="L542" s="1502"/>
      <c r="M542" s="1502"/>
    </row>
    <row r="543" spans="1:13" ht="24" customHeight="1">
      <c r="A543" s="1626"/>
      <c r="B543" s="1599"/>
      <c r="C543" s="1600"/>
      <c r="D543" s="1602">
        <v>1</v>
      </c>
      <c r="E543" s="1604" t="s">
        <v>1031</v>
      </c>
      <c r="F543" s="1502">
        <v>0</v>
      </c>
      <c r="G543" s="1502">
        <v>0</v>
      </c>
      <c r="H543" s="1502">
        <v>0</v>
      </c>
      <c r="I543" s="1502">
        <v>0</v>
      </c>
      <c r="J543" s="1502">
        <v>0</v>
      </c>
      <c r="K543" s="1502">
        <v>0</v>
      </c>
      <c r="L543" s="1502">
        <v>0</v>
      </c>
      <c r="M543" s="1502">
        <f>F543+G543+H543+I543+J543+K543+L543</f>
        <v>0</v>
      </c>
    </row>
    <row r="544" spans="1:13" ht="24" customHeight="1">
      <c r="A544" s="1626"/>
      <c r="B544" s="1599"/>
      <c r="C544" s="1600"/>
      <c r="D544" s="1602">
        <v>2</v>
      </c>
      <c r="E544" s="1320" t="s">
        <v>1032</v>
      </c>
      <c r="F544" s="1502">
        <v>0</v>
      </c>
      <c r="G544" s="1502">
        <v>0</v>
      </c>
      <c r="H544" s="1502">
        <v>0</v>
      </c>
      <c r="I544" s="1502">
        <v>0</v>
      </c>
      <c r="J544" s="1502">
        <v>0</v>
      </c>
      <c r="K544" s="1502">
        <v>0</v>
      </c>
      <c r="L544" s="1502">
        <v>0</v>
      </c>
      <c r="M544" s="1502">
        <f>F544+G544+H544+I544+J544+K544+L544</f>
        <v>0</v>
      </c>
    </row>
    <row r="545" spans="1:13" ht="24" customHeight="1">
      <c r="A545" s="1626"/>
      <c r="B545" s="1599"/>
      <c r="C545" s="1600"/>
      <c r="D545" s="1602">
        <v>3</v>
      </c>
      <c r="E545" s="1320" t="s">
        <v>1033</v>
      </c>
      <c r="F545" s="1502">
        <v>0</v>
      </c>
      <c r="G545" s="1502">
        <v>0</v>
      </c>
      <c r="H545" s="1502">
        <v>0</v>
      </c>
      <c r="I545" s="1502">
        <v>0</v>
      </c>
      <c r="J545" s="1502">
        <v>0</v>
      </c>
      <c r="K545" s="1502">
        <v>0</v>
      </c>
      <c r="L545" s="1502">
        <v>0</v>
      </c>
      <c r="M545" s="1502">
        <f>F545+G545+H545+I545+J545+K545+L545</f>
        <v>0</v>
      </c>
    </row>
    <row r="546" spans="1:13" ht="24" customHeight="1">
      <c r="A546" s="1626"/>
      <c r="B546" s="1599"/>
      <c r="C546" s="1600"/>
      <c r="D546" s="1602">
        <v>4</v>
      </c>
      <c r="E546" s="1320" t="s">
        <v>1034</v>
      </c>
      <c r="F546" s="1502">
        <v>0</v>
      </c>
      <c r="G546" s="1502">
        <v>0</v>
      </c>
      <c r="H546" s="1502">
        <v>0</v>
      </c>
      <c r="I546" s="1502">
        <v>0</v>
      </c>
      <c r="J546" s="1502">
        <v>0</v>
      </c>
      <c r="K546" s="1502">
        <v>0</v>
      </c>
      <c r="L546" s="1502">
        <v>0</v>
      </c>
      <c r="M546" s="1502">
        <f>F546+G546+H546+I546+J546+K546+L546</f>
        <v>0</v>
      </c>
    </row>
    <row r="547" spans="1:13" ht="24" customHeight="1">
      <c r="A547" s="1626"/>
      <c r="B547" s="1599"/>
      <c r="C547" s="1605" t="s">
        <v>121</v>
      </c>
      <c r="D547" s="1601"/>
      <c r="E547" s="1315" t="s">
        <v>1035</v>
      </c>
      <c r="F547" s="1316">
        <v>0</v>
      </c>
      <c r="G547" s="1316">
        <v>0</v>
      </c>
      <c r="H547" s="1316">
        <v>0</v>
      </c>
      <c r="I547" s="1316">
        <v>0</v>
      </c>
      <c r="J547" s="1316">
        <v>0</v>
      </c>
      <c r="K547" s="1316">
        <v>0</v>
      </c>
      <c r="L547" s="1316">
        <f>L549</f>
        <v>150000</v>
      </c>
      <c r="M547" s="1316">
        <f>F547+G547+H547+I547+J547+K547+L547</f>
        <v>150000</v>
      </c>
    </row>
    <row r="548" spans="1:13" ht="18" customHeight="1">
      <c r="A548" s="1626"/>
      <c r="B548" s="1599"/>
      <c r="C548" s="1600"/>
      <c r="D548" s="1602"/>
      <c r="E548" s="1603" t="s">
        <v>706</v>
      </c>
      <c r="F548" s="1502"/>
      <c r="G548" s="1502"/>
      <c r="H548" s="1502"/>
      <c r="I548" s="1502"/>
      <c r="J548" s="1502"/>
      <c r="K548" s="1502"/>
      <c r="L548" s="1502"/>
      <c r="M548" s="1502"/>
    </row>
    <row r="549" spans="1:13" s="1630" customFormat="1" ht="41.25" customHeight="1">
      <c r="A549" s="1626"/>
      <c r="B549" s="1599"/>
      <c r="C549" s="1600"/>
      <c r="D549" s="1602">
        <v>1</v>
      </c>
      <c r="E549" s="1320" t="s">
        <v>1036</v>
      </c>
      <c r="F549" s="1502">
        <v>0</v>
      </c>
      <c r="G549" s="1502">
        <v>0</v>
      </c>
      <c r="H549" s="1502">
        <v>0</v>
      </c>
      <c r="I549" s="1502">
        <v>0</v>
      </c>
      <c r="J549" s="1502">
        <v>0</v>
      </c>
      <c r="K549" s="1502">
        <v>0</v>
      </c>
      <c r="L549" s="1502">
        <v>150000</v>
      </c>
      <c r="M549" s="1502">
        <f>SUM(F549:L549)</f>
        <v>150000</v>
      </c>
    </row>
    <row r="550" spans="1:13" ht="45" customHeight="1">
      <c r="A550" s="1616">
        <v>18</v>
      </c>
      <c r="B550" s="1607">
        <v>921</v>
      </c>
      <c r="C550" s="1606"/>
      <c r="D550" s="1608"/>
      <c r="E550" s="1629" t="s">
        <v>106</v>
      </c>
      <c r="F550" s="1609">
        <f aca="true" t="shared" si="91" ref="F550:L550">F551+F561+F571</f>
        <v>0</v>
      </c>
      <c r="G550" s="1609">
        <f t="shared" si="91"/>
        <v>0</v>
      </c>
      <c r="H550" s="1609"/>
      <c r="I550" s="1609">
        <f t="shared" si="91"/>
        <v>0</v>
      </c>
      <c r="J550" s="1609"/>
      <c r="K550" s="1609">
        <f t="shared" si="91"/>
        <v>10500</v>
      </c>
      <c r="L550" s="1609">
        <f t="shared" si="91"/>
        <v>1757862</v>
      </c>
      <c r="M550" s="1609">
        <f>SUM(F550:L550)</f>
        <v>1768362</v>
      </c>
    </row>
    <row r="551" spans="1:13" ht="36" customHeight="1">
      <c r="A551" s="1622"/>
      <c r="B551" s="1615">
        <v>92109</v>
      </c>
      <c r="C551" s="1595"/>
      <c r="D551" s="1596"/>
      <c r="E551" s="1623" t="s">
        <v>478</v>
      </c>
      <c r="F551" s="1598">
        <f aca="true" t="shared" si="92" ref="F551:L551">F552+F558</f>
        <v>0</v>
      </c>
      <c r="G551" s="1598">
        <f t="shared" si="92"/>
        <v>0</v>
      </c>
      <c r="H551" s="1598"/>
      <c r="I551" s="1598">
        <f t="shared" si="92"/>
        <v>0</v>
      </c>
      <c r="J551" s="1598"/>
      <c r="K551" s="1598">
        <f t="shared" si="92"/>
        <v>0</v>
      </c>
      <c r="L551" s="1598">
        <f t="shared" si="92"/>
        <v>1164662</v>
      </c>
      <c r="M551" s="1598">
        <f>SUM(F551:L551)</f>
        <v>1164662</v>
      </c>
    </row>
    <row r="552" spans="1:13" ht="24" customHeight="1">
      <c r="A552" s="1626"/>
      <c r="B552" s="1599"/>
      <c r="C552" s="1600" t="s">
        <v>602</v>
      </c>
      <c r="D552" s="1601"/>
      <c r="E552" s="1315" t="s">
        <v>1030</v>
      </c>
      <c r="F552" s="1316">
        <v>0</v>
      </c>
      <c r="G552" s="1316">
        <v>0</v>
      </c>
      <c r="H552" s="1316"/>
      <c r="I552" s="1316">
        <v>0</v>
      </c>
      <c r="J552" s="1316"/>
      <c r="K552" s="1316">
        <v>0</v>
      </c>
      <c r="L552" s="1316">
        <f>13000+3000+7000+466432+8000+3000+5000+5000+3000+400000+5000+6000+240230</f>
        <v>1164662</v>
      </c>
      <c r="M552" s="1502">
        <f>F552+G552+H552+I552+J552+K552+L552</f>
        <v>1164662</v>
      </c>
    </row>
    <row r="553" spans="1:13" ht="18" customHeight="1">
      <c r="A553" s="1626"/>
      <c r="B553" s="1599"/>
      <c r="C553" s="1600"/>
      <c r="D553" s="1602"/>
      <c r="E553" s="1603" t="s">
        <v>706</v>
      </c>
      <c r="F553" s="1502"/>
      <c r="G553" s="1502"/>
      <c r="H553" s="1502"/>
      <c r="I553" s="1502"/>
      <c r="J553" s="1502"/>
      <c r="K553" s="1502"/>
      <c r="L553" s="1502"/>
      <c r="M553" s="1502"/>
    </row>
    <row r="554" spans="1:13" ht="24" customHeight="1">
      <c r="A554" s="1626"/>
      <c r="B554" s="1599"/>
      <c r="C554" s="1600"/>
      <c r="D554" s="1602">
        <v>1</v>
      </c>
      <c r="E554" s="1604" t="s">
        <v>1031</v>
      </c>
      <c r="F554" s="1502">
        <v>0</v>
      </c>
      <c r="G554" s="1502">
        <v>0</v>
      </c>
      <c r="H554" s="1502"/>
      <c r="I554" s="1502">
        <v>0</v>
      </c>
      <c r="J554" s="1502"/>
      <c r="K554" s="1502">
        <v>0</v>
      </c>
      <c r="L554" s="1502">
        <v>13000</v>
      </c>
      <c r="M554" s="1502">
        <f>F554+G554+H554+I554+J554+K554+L554</f>
        <v>13000</v>
      </c>
    </row>
    <row r="555" spans="1:13" ht="24" customHeight="1">
      <c r="A555" s="1626"/>
      <c r="B555" s="1599"/>
      <c r="C555" s="1600"/>
      <c r="D555" s="1602">
        <v>2</v>
      </c>
      <c r="E555" s="1320" t="s">
        <v>1032</v>
      </c>
      <c r="F555" s="1502">
        <v>0</v>
      </c>
      <c r="G555" s="1502">
        <v>0</v>
      </c>
      <c r="H555" s="1502"/>
      <c r="I555" s="1502">
        <v>0</v>
      </c>
      <c r="J555" s="1502"/>
      <c r="K555" s="1502">
        <v>0</v>
      </c>
      <c r="L555" s="1502">
        <f>466432+8000+3000+5000+3000+5000+400000+5000+6000+240230</f>
        <v>1141662</v>
      </c>
      <c r="M555" s="1502">
        <f>F555+G555+H555+I555+J555+K555+L555</f>
        <v>1141662</v>
      </c>
    </row>
    <row r="556" spans="1:13" ht="24" customHeight="1">
      <c r="A556" s="1626"/>
      <c r="B556" s="1599"/>
      <c r="C556" s="1600"/>
      <c r="D556" s="1602">
        <v>3</v>
      </c>
      <c r="E556" s="1320" t="s">
        <v>1033</v>
      </c>
      <c r="F556" s="1502">
        <v>0</v>
      </c>
      <c r="G556" s="1502">
        <v>0</v>
      </c>
      <c r="H556" s="1502"/>
      <c r="I556" s="1502">
        <v>0</v>
      </c>
      <c r="J556" s="1502"/>
      <c r="K556" s="1502">
        <v>0</v>
      </c>
      <c r="L556" s="1502">
        <v>0</v>
      </c>
      <c r="M556" s="1502">
        <f>F556+G556+H556+I556+J556+K556+L556</f>
        <v>0</v>
      </c>
    </row>
    <row r="557" spans="1:13" ht="24" customHeight="1">
      <c r="A557" s="1626"/>
      <c r="B557" s="1599"/>
      <c r="C557" s="1600"/>
      <c r="D557" s="1602">
        <v>4</v>
      </c>
      <c r="E557" s="1320" t="s">
        <v>1034</v>
      </c>
      <c r="F557" s="1502">
        <v>0</v>
      </c>
      <c r="G557" s="1502">
        <v>0</v>
      </c>
      <c r="H557" s="1502"/>
      <c r="I557" s="1502">
        <v>0</v>
      </c>
      <c r="J557" s="1502"/>
      <c r="K557" s="1502">
        <v>0</v>
      </c>
      <c r="L557" s="1502">
        <v>0</v>
      </c>
      <c r="M557" s="1502">
        <f>F557+G557+H557+I557+J557+K557+L557</f>
        <v>0</v>
      </c>
    </row>
    <row r="558" spans="1:13" ht="24" customHeight="1">
      <c r="A558" s="1626"/>
      <c r="B558" s="1599"/>
      <c r="C558" s="1605" t="s">
        <v>121</v>
      </c>
      <c r="D558" s="1601"/>
      <c r="E558" s="1315" t="s">
        <v>1035</v>
      </c>
      <c r="F558" s="1316">
        <v>0</v>
      </c>
      <c r="G558" s="1316">
        <v>0</v>
      </c>
      <c r="H558" s="1316"/>
      <c r="I558" s="1316">
        <v>0</v>
      </c>
      <c r="J558" s="1316"/>
      <c r="K558" s="1316">
        <v>0</v>
      </c>
      <c r="L558" s="1316">
        <v>0</v>
      </c>
      <c r="M558" s="1316">
        <f>F558+G558+H558+I558+J558+K558+L558</f>
        <v>0</v>
      </c>
    </row>
    <row r="559" spans="1:13" ht="18" customHeight="1">
      <c r="A559" s="1626"/>
      <c r="B559" s="1599"/>
      <c r="C559" s="1600"/>
      <c r="D559" s="1602"/>
      <c r="E559" s="1603" t="s">
        <v>706</v>
      </c>
      <c r="F559" s="1502"/>
      <c r="G559" s="1502"/>
      <c r="H559" s="1502"/>
      <c r="I559" s="1502"/>
      <c r="J559" s="1502"/>
      <c r="K559" s="1502"/>
      <c r="L559" s="1502"/>
      <c r="M559" s="1502"/>
    </row>
    <row r="560" spans="1:13" s="1630" customFormat="1" ht="41.25" customHeight="1">
      <c r="A560" s="1626"/>
      <c r="B560" s="1599"/>
      <c r="C560" s="1600"/>
      <c r="D560" s="1602">
        <v>1</v>
      </c>
      <c r="E560" s="1320" t="s">
        <v>1036</v>
      </c>
      <c r="F560" s="1502">
        <v>0</v>
      </c>
      <c r="G560" s="1502">
        <v>0</v>
      </c>
      <c r="H560" s="1502"/>
      <c r="I560" s="1502">
        <v>0</v>
      </c>
      <c r="J560" s="1502"/>
      <c r="K560" s="1502">
        <v>0</v>
      </c>
      <c r="L560" s="1502">
        <v>0</v>
      </c>
      <c r="M560" s="1502">
        <f>SUM(F560:L560)</f>
        <v>0</v>
      </c>
    </row>
    <row r="561" spans="1:13" ht="36" customHeight="1">
      <c r="A561" s="1622"/>
      <c r="B561" s="1615">
        <v>92116</v>
      </c>
      <c r="C561" s="1595"/>
      <c r="D561" s="1596"/>
      <c r="E561" s="1597" t="s">
        <v>122</v>
      </c>
      <c r="F561" s="1598">
        <f aca="true" t="shared" si="93" ref="F561:L561">F562+F568</f>
        <v>0</v>
      </c>
      <c r="G561" s="1598">
        <f t="shared" si="93"/>
        <v>0</v>
      </c>
      <c r="H561" s="1598"/>
      <c r="I561" s="1598">
        <f t="shared" si="93"/>
        <v>0</v>
      </c>
      <c r="J561" s="1598"/>
      <c r="K561" s="1598">
        <f t="shared" si="93"/>
        <v>0</v>
      </c>
      <c r="L561" s="1598">
        <f t="shared" si="93"/>
        <v>547000</v>
      </c>
      <c r="M561" s="1598">
        <f>SUM(F561:L561)</f>
        <v>547000</v>
      </c>
    </row>
    <row r="562" spans="1:13" ht="24" customHeight="1">
      <c r="A562" s="1626"/>
      <c r="B562" s="1599"/>
      <c r="C562" s="1600" t="s">
        <v>602</v>
      </c>
      <c r="D562" s="1601"/>
      <c r="E562" s="1315" t="s">
        <v>1030</v>
      </c>
      <c r="F562" s="1316">
        <v>0</v>
      </c>
      <c r="G562" s="1316">
        <v>0</v>
      </c>
      <c r="H562" s="1316"/>
      <c r="I562" s="1316">
        <v>0</v>
      </c>
      <c r="J562" s="1316"/>
      <c r="K562" s="1316">
        <v>0</v>
      </c>
      <c r="L562" s="1316">
        <v>547000</v>
      </c>
      <c r="M562" s="1502">
        <f>F562+G562+H562+I562+J562+K562+L562</f>
        <v>547000</v>
      </c>
    </row>
    <row r="563" spans="1:13" ht="18" customHeight="1">
      <c r="A563" s="1626"/>
      <c r="B563" s="1599"/>
      <c r="C563" s="1600"/>
      <c r="D563" s="1602"/>
      <c r="E563" s="1603" t="s">
        <v>706</v>
      </c>
      <c r="F563" s="1502"/>
      <c r="G563" s="1502"/>
      <c r="H563" s="1502"/>
      <c r="I563" s="1502"/>
      <c r="J563" s="1502"/>
      <c r="K563" s="1502"/>
      <c r="L563" s="1502"/>
      <c r="M563" s="1502"/>
    </row>
    <row r="564" spans="1:13" ht="24" customHeight="1">
      <c r="A564" s="1626"/>
      <c r="B564" s="1599"/>
      <c r="C564" s="1600"/>
      <c r="D564" s="1602">
        <v>1</v>
      </c>
      <c r="E564" s="1604" t="s">
        <v>1031</v>
      </c>
      <c r="F564" s="1502">
        <v>0</v>
      </c>
      <c r="G564" s="1502">
        <v>0</v>
      </c>
      <c r="H564" s="1502"/>
      <c r="I564" s="1502">
        <v>0</v>
      </c>
      <c r="J564" s="1502"/>
      <c r="K564" s="1502">
        <v>0</v>
      </c>
      <c r="L564" s="1502">
        <v>0</v>
      </c>
      <c r="M564" s="1502">
        <f>F564+G564+H564+I564+J564+K564+L564</f>
        <v>0</v>
      </c>
    </row>
    <row r="565" spans="1:13" ht="24" customHeight="1">
      <c r="A565" s="1626"/>
      <c r="B565" s="1599"/>
      <c r="C565" s="1600"/>
      <c r="D565" s="1602">
        <v>2</v>
      </c>
      <c r="E565" s="1320" t="s">
        <v>1032</v>
      </c>
      <c r="F565" s="1502">
        <v>0</v>
      </c>
      <c r="G565" s="1502">
        <v>0</v>
      </c>
      <c r="H565" s="1502"/>
      <c r="I565" s="1502">
        <v>0</v>
      </c>
      <c r="J565" s="1502"/>
      <c r="K565" s="1502">
        <v>0</v>
      </c>
      <c r="L565" s="1502">
        <v>547000</v>
      </c>
      <c r="M565" s="1502">
        <f>F565+G565+H565+I565+J565+K565+L565</f>
        <v>547000</v>
      </c>
    </row>
    <row r="566" spans="1:13" ht="24" customHeight="1">
      <c r="A566" s="1626"/>
      <c r="B566" s="1599"/>
      <c r="C566" s="1600"/>
      <c r="D566" s="1602">
        <v>3</v>
      </c>
      <c r="E566" s="1320" t="s">
        <v>1033</v>
      </c>
      <c r="F566" s="1502">
        <v>0</v>
      </c>
      <c r="G566" s="1502">
        <v>0</v>
      </c>
      <c r="H566" s="1502"/>
      <c r="I566" s="1502">
        <v>0</v>
      </c>
      <c r="J566" s="1502"/>
      <c r="K566" s="1502">
        <v>0</v>
      </c>
      <c r="L566" s="1502">
        <v>0</v>
      </c>
      <c r="M566" s="1502">
        <f>F566+G566+H566+I566+J566+K566+L566</f>
        <v>0</v>
      </c>
    </row>
    <row r="567" spans="1:13" ht="24" customHeight="1">
      <c r="A567" s="1626"/>
      <c r="B567" s="1599"/>
      <c r="C567" s="1600"/>
      <c r="D567" s="1602">
        <v>4</v>
      </c>
      <c r="E567" s="1320" t="s">
        <v>1034</v>
      </c>
      <c r="F567" s="1502">
        <v>0</v>
      </c>
      <c r="G567" s="1502">
        <v>0</v>
      </c>
      <c r="H567" s="1502"/>
      <c r="I567" s="1502">
        <v>0</v>
      </c>
      <c r="J567" s="1502"/>
      <c r="K567" s="1502">
        <v>0</v>
      </c>
      <c r="L567" s="1502">
        <v>0</v>
      </c>
      <c r="M567" s="1502">
        <f>F567+G567+H567+I567+J567+K567+L567</f>
        <v>0</v>
      </c>
    </row>
    <row r="568" spans="1:13" ht="24" customHeight="1">
      <c r="A568" s="1626"/>
      <c r="B568" s="1599"/>
      <c r="C568" s="1605" t="s">
        <v>121</v>
      </c>
      <c r="D568" s="1601"/>
      <c r="E568" s="1315" t="s">
        <v>1035</v>
      </c>
      <c r="F568" s="1316">
        <v>0</v>
      </c>
      <c r="G568" s="1316">
        <v>0</v>
      </c>
      <c r="H568" s="1316"/>
      <c r="I568" s="1316">
        <v>0</v>
      </c>
      <c r="J568" s="1316"/>
      <c r="K568" s="1316">
        <v>0</v>
      </c>
      <c r="L568" s="1316">
        <f>L570</f>
        <v>0</v>
      </c>
      <c r="M568" s="1316">
        <f>F568+G568+H568+I568+J568+K568+L568</f>
        <v>0</v>
      </c>
    </row>
    <row r="569" spans="1:13" ht="18" customHeight="1">
      <c r="A569" s="1626"/>
      <c r="B569" s="1599"/>
      <c r="C569" s="1600"/>
      <c r="D569" s="1602"/>
      <c r="E569" s="1603" t="s">
        <v>706</v>
      </c>
      <c r="F569" s="1502"/>
      <c r="G569" s="1502"/>
      <c r="H569" s="1502"/>
      <c r="I569" s="1502"/>
      <c r="J569" s="1502"/>
      <c r="K569" s="1502"/>
      <c r="L569" s="1502"/>
      <c r="M569" s="1502"/>
    </row>
    <row r="570" spans="1:13" s="1630" customFormat="1" ht="41.25" customHeight="1">
      <c r="A570" s="1626"/>
      <c r="B570" s="1599"/>
      <c r="C570" s="1600"/>
      <c r="D570" s="1602">
        <v>1</v>
      </c>
      <c r="E570" s="1320" t="s">
        <v>1036</v>
      </c>
      <c r="F570" s="1502">
        <v>0</v>
      </c>
      <c r="G570" s="1502">
        <v>0</v>
      </c>
      <c r="H570" s="1502"/>
      <c r="I570" s="1502">
        <v>0</v>
      </c>
      <c r="J570" s="1502"/>
      <c r="K570" s="1502">
        <v>0</v>
      </c>
      <c r="L570" s="1502">
        <v>0</v>
      </c>
      <c r="M570" s="1502">
        <f>SUM(F570:L570)</f>
        <v>0</v>
      </c>
    </row>
    <row r="571" spans="1:13" ht="36" customHeight="1">
      <c r="A571" s="1622"/>
      <c r="B571" s="1615">
        <v>92195</v>
      </c>
      <c r="C571" s="1595"/>
      <c r="D571" s="1596"/>
      <c r="E571" s="1597" t="s">
        <v>24</v>
      </c>
      <c r="F571" s="1598">
        <f aca="true" t="shared" si="94" ref="F571:L571">F572+F578</f>
        <v>0</v>
      </c>
      <c r="G571" s="1598">
        <f t="shared" si="94"/>
        <v>0</v>
      </c>
      <c r="H571" s="1598"/>
      <c r="I571" s="1598">
        <f t="shared" si="94"/>
        <v>0</v>
      </c>
      <c r="J571" s="1598"/>
      <c r="K571" s="1598">
        <f t="shared" si="94"/>
        <v>10500</v>
      </c>
      <c r="L571" s="1598">
        <f t="shared" si="94"/>
        <v>46200</v>
      </c>
      <c r="M571" s="1598">
        <f>SUM(F571:L571)</f>
        <v>56700</v>
      </c>
    </row>
    <row r="572" spans="1:13" ht="24" customHeight="1">
      <c r="A572" s="1626"/>
      <c r="B572" s="1599"/>
      <c r="C572" s="1600" t="s">
        <v>602</v>
      </c>
      <c r="D572" s="1601"/>
      <c r="E572" s="1315" t="s">
        <v>1030</v>
      </c>
      <c r="F572" s="1316">
        <v>0</v>
      </c>
      <c r="G572" s="1316">
        <v>0</v>
      </c>
      <c r="H572" s="1316"/>
      <c r="I572" s="1316">
        <v>0</v>
      </c>
      <c r="J572" s="1316"/>
      <c r="K572" s="1316">
        <v>10500</v>
      </c>
      <c r="L572" s="1316">
        <f>10000+3000+1000+1200+5000+26000</f>
        <v>46200</v>
      </c>
      <c r="M572" s="1502">
        <f>F572+G572+H572+I572+J572+K572+L572</f>
        <v>56700</v>
      </c>
    </row>
    <row r="573" spans="1:13" ht="18" customHeight="1">
      <c r="A573" s="1626"/>
      <c r="B573" s="1599"/>
      <c r="C573" s="1600"/>
      <c r="D573" s="1602"/>
      <c r="E573" s="1603" t="s">
        <v>706</v>
      </c>
      <c r="F573" s="1502"/>
      <c r="G573" s="1502"/>
      <c r="H573" s="1502"/>
      <c r="I573" s="1502"/>
      <c r="J573" s="1502"/>
      <c r="K573" s="1502"/>
      <c r="L573" s="1502"/>
      <c r="M573" s="1502"/>
    </row>
    <row r="574" spans="1:13" ht="24" customHeight="1">
      <c r="A574" s="1626"/>
      <c r="B574" s="1599"/>
      <c r="C574" s="1600"/>
      <c r="D574" s="1602">
        <v>1</v>
      </c>
      <c r="E574" s="1604" t="s">
        <v>1031</v>
      </c>
      <c r="F574" s="1502">
        <v>0</v>
      </c>
      <c r="G574" s="1502">
        <v>0</v>
      </c>
      <c r="H574" s="1502"/>
      <c r="I574" s="1502">
        <v>0</v>
      </c>
      <c r="J574" s="1502"/>
      <c r="K574" s="1502">
        <v>0</v>
      </c>
      <c r="L574" s="1502">
        <v>600</v>
      </c>
      <c r="M574" s="1502">
        <f>F574+G574+H574+I574+J574+K574+L574</f>
        <v>600</v>
      </c>
    </row>
    <row r="575" spans="1:13" ht="24" customHeight="1">
      <c r="A575" s="1626"/>
      <c r="B575" s="1599"/>
      <c r="C575" s="1600"/>
      <c r="D575" s="1602">
        <v>2</v>
      </c>
      <c r="E575" s="1320" t="s">
        <v>1032</v>
      </c>
      <c r="F575" s="1502">
        <v>0</v>
      </c>
      <c r="G575" s="1502">
        <v>0</v>
      </c>
      <c r="H575" s="1502"/>
      <c r="I575" s="1502">
        <v>0</v>
      </c>
      <c r="J575" s="1502"/>
      <c r="K575" s="1502">
        <v>10500</v>
      </c>
      <c r="L575" s="1502">
        <v>26000</v>
      </c>
      <c r="M575" s="1502">
        <f>F575+G575+H575+I575+J575+K575+L575</f>
        <v>36500</v>
      </c>
    </row>
    <row r="576" spans="1:13" ht="24" customHeight="1">
      <c r="A576" s="1626"/>
      <c r="B576" s="1599"/>
      <c r="C576" s="1600"/>
      <c r="D576" s="1602">
        <v>3</v>
      </c>
      <c r="E576" s="1320" t="s">
        <v>1033</v>
      </c>
      <c r="F576" s="1502">
        <v>0</v>
      </c>
      <c r="G576" s="1502">
        <v>0</v>
      </c>
      <c r="H576" s="1502"/>
      <c r="I576" s="1502">
        <v>0</v>
      </c>
      <c r="J576" s="1502"/>
      <c r="K576" s="1502">
        <v>0</v>
      </c>
      <c r="L576" s="1502">
        <v>0</v>
      </c>
      <c r="M576" s="1502">
        <f>F576+G576+H576+I576+J576+K576+L576</f>
        <v>0</v>
      </c>
    </row>
    <row r="577" spans="1:13" ht="24" customHeight="1">
      <c r="A577" s="1626"/>
      <c r="B577" s="1599"/>
      <c r="C577" s="1600"/>
      <c r="D577" s="1602">
        <v>4</v>
      </c>
      <c r="E577" s="1320" t="s">
        <v>1034</v>
      </c>
      <c r="F577" s="1502">
        <v>0</v>
      </c>
      <c r="G577" s="1502">
        <v>0</v>
      </c>
      <c r="H577" s="1502"/>
      <c r="I577" s="1502">
        <v>0</v>
      </c>
      <c r="J577" s="1502"/>
      <c r="K577" s="1502">
        <v>0</v>
      </c>
      <c r="L577" s="1502">
        <v>0</v>
      </c>
      <c r="M577" s="1502">
        <f>F577+G577+H577+I577+J577+K577+L577</f>
        <v>0</v>
      </c>
    </row>
    <row r="578" spans="1:13" ht="24" customHeight="1">
      <c r="A578" s="1626"/>
      <c r="B578" s="1599"/>
      <c r="C578" s="1605" t="s">
        <v>121</v>
      </c>
      <c r="D578" s="1601"/>
      <c r="E578" s="1315" t="s">
        <v>1035</v>
      </c>
      <c r="F578" s="1316">
        <v>0</v>
      </c>
      <c r="G578" s="1316">
        <v>0</v>
      </c>
      <c r="H578" s="1316"/>
      <c r="I578" s="1316">
        <v>0</v>
      </c>
      <c r="J578" s="1316"/>
      <c r="K578" s="1316">
        <v>0</v>
      </c>
      <c r="L578" s="1316">
        <v>0</v>
      </c>
      <c r="M578" s="1316">
        <f>F578+G578+H578+I578+J578+K578+L578</f>
        <v>0</v>
      </c>
    </row>
    <row r="579" spans="1:13" ht="18" customHeight="1">
      <c r="A579" s="1626"/>
      <c r="B579" s="1599"/>
      <c r="C579" s="1600"/>
      <c r="D579" s="1602"/>
      <c r="E579" s="1603" t="s">
        <v>706</v>
      </c>
      <c r="F579" s="1502"/>
      <c r="G579" s="1502"/>
      <c r="H579" s="1502"/>
      <c r="I579" s="1502"/>
      <c r="J579" s="1502"/>
      <c r="K579" s="1502"/>
      <c r="L579" s="1502"/>
      <c r="M579" s="1502"/>
    </row>
    <row r="580" spans="1:13" s="1630" customFormat="1" ht="41.25" customHeight="1">
      <c r="A580" s="1626"/>
      <c r="B580" s="1599"/>
      <c r="C580" s="1600"/>
      <c r="D580" s="1602">
        <v>1</v>
      </c>
      <c r="E580" s="1320" t="s">
        <v>1036</v>
      </c>
      <c r="F580" s="1502">
        <v>0</v>
      </c>
      <c r="G580" s="1502">
        <v>0</v>
      </c>
      <c r="H580" s="1502"/>
      <c r="I580" s="1502">
        <v>0</v>
      </c>
      <c r="J580" s="1502"/>
      <c r="K580" s="1502">
        <v>0</v>
      </c>
      <c r="L580" s="1502">
        <v>0</v>
      </c>
      <c r="M580" s="1502">
        <f>SUM(F580:L580)</f>
        <v>0</v>
      </c>
    </row>
    <row r="581" spans="1:13" ht="45" customHeight="1">
      <c r="A581" s="1616">
        <v>19</v>
      </c>
      <c r="B581" s="1607">
        <v>926</v>
      </c>
      <c r="C581" s="1606"/>
      <c r="D581" s="1608"/>
      <c r="E581" s="1617" t="s">
        <v>123</v>
      </c>
      <c r="F581" s="1609">
        <f aca="true" t="shared" si="95" ref="F581:L581">F582+F592</f>
        <v>0</v>
      </c>
      <c r="G581" s="1609">
        <f t="shared" si="95"/>
        <v>0</v>
      </c>
      <c r="H581" s="1609">
        <f t="shared" si="95"/>
        <v>0</v>
      </c>
      <c r="I581" s="1609">
        <f t="shared" si="95"/>
        <v>0</v>
      </c>
      <c r="J581" s="1609">
        <f t="shared" si="95"/>
        <v>0</v>
      </c>
      <c r="K581" s="1609">
        <f t="shared" si="95"/>
        <v>0</v>
      </c>
      <c r="L581" s="1609">
        <f t="shared" si="95"/>
        <v>122500</v>
      </c>
      <c r="M581" s="1609">
        <f>SUM(F581:L581)</f>
        <v>122500</v>
      </c>
    </row>
    <row r="582" spans="1:13" ht="36" customHeight="1">
      <c r="A582" s="1622"/>
      <c r="B582" s="1615">
        <v>92605</v>
      </c>
      <c r="C582" s="1595"/>
      <c r="D582" s="1596"/>
      <c r="E582" s="1631" t="s">
        <v>479</v>
      </c>
      <c r="F582" s="1598">
        <f aca="true" t="shared" si="96" ref="F582:L582">F583+F589</f>
        <v>0</v>
      </c>
      <c r="G582" s="1598">
        <f t="shared" si="96"/>
        <v>0</v>
      </c>
      <c r="H582" s="1598">
        <f t="shared" si="96"/>
        <v>0</v>
      </c>
      <c r="I582" s="1598">
        <f t="shared" si="96"/>
        <v>0</v>
      </c>
      <c r="J582" s="1598">
        <f t="shared" si="96"/>
        <v>0</v>
      </c>
      <c r="K582" s="1598">
        <f t="shared" si="96"/>
        <v>0</v>
      </c>
      <c r="L582" s="1598">
        <f t="shared" si="96"/>
        <v>22500</v>
      </c>
      <c r="M582" s="1598">
        <f>SUM(F582:L582)</f>
        <v>22500</v>
      </c>
    </row>
    <row r="583" spans="1:13" ht="24" customHeight="1">
      <c r="A583" s="1626"/>
      <c r="B583" s="1599"/>
      <c r="C583" s="1600" t="s">
        <v>602</v>
      </c>
      <c r="D583" s="1601"/>
      <c r="E583" s="1315" t="s">
        <v>1030</v>
      </c>
      <c r="F583" s="1316">
        <v>0</v>
      </c>
      <c r="G583" s="1316">
        <v>0</v>
      </c>
      <c r="H583" s="1316">
        <v>0</v>
      </c>
      <c r="I583" s="1316">
        <v>0</v>
      </c>
      <c r="J583" s="1316">
        <v>0</v>
      </c>
      <c r="K583" s="1316">
        <v>0</v>
      </c>
      <c r="L583" s="1316">
        <f>8000+5000+5000+4500</f>
        <v>22500</v>
      </c>
      <c r="M583" s="1502">
        <f>F583+G583+H583+I583+J583+K583+L583</f>
        <v>22500</v>
      </c>
    </row>
    <row r="584" spans="1:13" ht="18" customHeight="1">
      <c r="A584" s="1626"/>
      <c r="B584" s="1599"/>
      <c r="C584" s="1600"/>
      <c r="D584" s="1602"/>
      <c r="E584" s="1603" t="s">
        <v>706</v>
      </c>
      <c r="F584" s="1502"/>
      <c r="G584" s="1502"/>
      <c r="H584" s="1502"/>
      <c r="I584" s="1502"/>
      <c r="J584" s="1502"/>
      <c r="K584" s="1502"/>
      <c r="L584" s="1502"/>
      <c r="M584" s="1502"/>
    </row>
    <row r="585" spans="1:13" ht="24" customHeight="1">
      <c r="A585" s="1626"/>
      <c r="B585" s="1599"/>
      <c r="C585" s="1600"/>
      <c r="D585" s="1602">
        <v>1</v>
      </c>
      <c r="E585" s="1604" t="s">
        <v>1031</v>
      </c>
      <c r="F585" s="1502">
        <v>0</v>
      </c>
      <c r="G585" s="1502">
        <v>0</v>
      </c>
      <c r="H585" s="1502">
        <v>0</v>
      </c>
      <c r="I585" s="1502">
        <v>0</v>
      </c>
      <c r="J585" s="1502">
        <v>0</v>
      </c>
      <c r="K585" s="1502">
        <v>0</v>
      </c>
      <c r="L585" s="1502">
        <v>0</v>
      </c>
      <c r="M585" s="1502">
        <f>F585+G585+H585+I585+J585+K585+L585</f>
        <v>0</v>
      </c>
    </row>
    <row r="586" spans="1:13" ht="24" customHeight="1">
      <c r="A586" s="1626"/>
      <c r="B586" s="1599"/>
      <c r="C586" s="1600"/>
      <c r="D586" s="1602">
        <v>2</v>
      </c>
      <c r="E586" s="1320" t="s">
        <v>1032</v>
      </c>
      <c r="F586" s="1502">
        <v>0</v>
      </c>
      <c r="G586" s="1502">
        <v>0</v>
      </c>
      <c r="H586" s="1502">
        <v>0</v>
      </c>
      <c r="I586" s="1502">
        <v>0</v>
      </c>
      <c r="J586" s="1502">
        <v>0</v>
      </c>
      <c r="K586" s="1502">
        <v>0</v>
      </c>
      <c r="L586" s="1502">
        <f>5000+5000</f>
        <v>10000</v>
      </c>
      <c r="M586" s="1502">
        <f>F586+G586+H586+I586+J586+K586+L586</f>
        <v>10000</v>
      </c>
    </row>
    <row r="587" spans="1:13" ht="24" customHeight="1">
      <c r="A587" s="1626"/>
      <c r="B587" s="1599"/>
      <c r="C587" s="1600"/>
      <c r="D587" s="1602">
        <v>3</v>
      </c>
      <c r="E587" s="1320" t="s">
        <v>1033</v>
      </c>
      <c r="F587" s="1502">
        <v>0</v>
      </c>
      <c r="G587" s="1502">
        <v>0</v>
      </c>
      <c r="H587" s="1502">
        <v>0</v>
      </c>
      <c r="I587" s="1502">
        <v>0</v>
      </c>
      <c r="J587" s="1502">
        <v>0</v>
      </c>
      <c r="K587" s="1502">
        <v>0</v>
      </c>
      <c r="L587" s="1502">
        <v>0</v>
      </c>
      <c r="M587" s="1502">
        <f>F587+G587+H587+I587+J587+K587+L587</f>
        <v>0</v>
      </c>
    </row>
    <row r="588" spans="1:13" ht="24" customHeight="1">
      <c r="A588" s="1626"/>
      <c r="B588" s="1599"/>
      <c r="C588" s="1600"/>
      <c r="D588" s="1602">
        <v>4</v>
      </c>
      <c r="E588" s="1320" t="s">
        <v>1034</v>
      </c>
      <c r="F588" s="1502">
        <v>0</v>
      </c>
      <c r="G588" s="1502">
        <v>0</v>
      </c>
      <c r="H588" s="1502">
        <v>0</v>
      </c>
      <c r="I588" s="1502">
        <v>0</v>
      </c>
      <c r="J588" s="1502">
        <v>0</v>
      </c>
      <c r="K588" s="1502">
        <v>0</v>
      </c>
      <c r="L588" s="1502">
        <v>0</v>
      </c>
      <c r="M588" s="1502">
        <f>F588+G588+H588+I588+J588+K588+L588</f>
        <v>0</v>
      </c>
    </row>
    <row r="589" spans="1:13" ht="24" customHeight="1">
      <c r="A589" s="1626"/>
      <c r="B589" s="1599"/>
      <c r="C589" s="1605" t="s">
        <v>121</v>
      </c>
      <c r="D589" s="1601"/>
      <c r="E589" s="1315" t="s">
        <v>1035</v>
      </c>
      <c r="F589" s="1316">
        <v>0</v>
      </c>
      <c r="G589" s="1316">
        <v>0</v>
      </c>
      <c r="H589" s="1316">
        <v>0</v>
      </c>
      <c r="I589" s="1316">
        <v>0</v>
      </c>
      <c r="J589" s="1316">
        <v>0</v>
      </c>
      <c r="K589" s="1316">
        <v>0</v>
      </c>
      <c r="L589" s="1316">
        <v>0</v>
      </c>
      <c r="M589" s="1316">
        <f>F589+G589+H589+I589+J589+K589+L589</f>
        <v>0</v>
      </c>
    </row>
    <row r="590" spans="1:13" ht="18" customHeight="1">
      <c r="A590" s="1626"/>
      <c r="B590" s="1599"/>
      <c r="C590" s="1600"/>
      <c r="D590" s="1602"/>
      <c r="E590" s="1603" t="s">
        <v>706</v>
      </c>
      <c r="F590" s="1502"/>
      <c r="G590" s="1502"/>
      <c r="H590" s="1502"/>
      <c r="I590" s="1502"/>
      <c r="J590" s="1502"/>
      <c r="K590" s="1502"/>
      <c r="L590" s="1502"/>
      <c r="M590" s="1502"/>
    </row>
    <row r="591" spans="1:13" s="1630" customFormat="1" ht="41.25" customHeight="1">
      <c r="A591" s="1626"/>
      <c r="B591" s="1599"/>
      <c r="C591" s="1600"/>
      <c r="D591" s="1602">
        <v>1</v>
      </c>
      <c r="E591" s="1320" t="s">
        <v>1036</v>
      </c>
      <c r="F591" s="1502">
        <v>0</v>
      </c>
      <c r="G591" s="1502">
        <v>0</v>
      </c>
      <c r="H591" s="1502">
        <v>0</v>
      </c>
      <c r="I591" s="1502">
        <v>0</v>
      </c>
      <c r="J591" s="1502">
        <v>0</v>
      </c>
      <c r="K591" s="1502">
        <v>0</v>
      </c>
      <c r="L591" s="1502">
        <v>0</v>
      </c>
      <c r="M591" s="1502">
        <f>SUM(F591:L591)</f>
        <v>0</v>
      </c>
    </row>
    <row r="592" spans="1:13" ht="36" customHeight="1">
      <c r="A592" s="1622"/>
      <c r="B592" s="1615">
        <v>92695</v>
      </c>
      <c r="C592" s="1595"/>
      <c r="D592" s="1596"/>
      <c r="E592" s="1597" t="s">
        <v>24</v>
      </c>
      <c r="F592" s="1598">
        <f aca="true" t="shared" si="97" ref="F592:L592">F593+F599</f>
        <v>0</v>
      </c>
      <c r="G592" s="1598">
        <f t="shared" si="97"/>
        <v>0</v>
      </c>
      <c r="H592" s="1598">
        <f t="shared" si="97"/>
        <v>0</v>
      </c>
      <c r="I592" s="1598">
        <f t="shared" si="97"/>
        <v>0</v>
      </c>
      <c r="J592" s="1598">
        <f t="shared" si="97"/>
        <v>0</v>
      </c>
      <c r="K592" s="1598">
        <f t="shared" si="97"/>
        <v>0</v>
      </c>
      <c r="L592" s="1598">
        <f t="shared" si="97"/>
        <v>100000</v>
      </c>
      <c r="M592" s="1598">
        <f>SUM(F592:L592)</f>
        <v>100000</v>
      </c>
    </row>
    <row r="593" spans="1:13" ht="28.5" customHeight="1">
      <c r="A593" s="1626"/>
      <c r="B593" s="1599"/>
      <c r="C593" s="1600" t="s">
        <v>602</v>
      </c>
      <c r="D593" s="1601"/>
      <c r="E593" s="1315" t="s">
        <v>1030</v>
      </c>
      <c r="F593" s="1316">
        <v>0</v>
      </c>
      <c r="G593" s="1316">
        <v>0</v>
      </c>
      <c r="H593" s="1316">
        <v>0</v>
      </c>
      <c r="I593" s="1316">
        <v>0</v>
      </c>
      <c r="J593" s="1316">
        <v>0</v>
      </c>
      <c r="K593" s="1316">
        <v>0</v>
      </c>
      <c r="L593" s="1316">
        <v>0</v>
      </c>
      <c r="M593" s="1502">
        <f>F593+G593+H593+I593+J593+K593+L593</f>
        <v>0</v>
      </c>
    </row>
    <row r="594" spans="1:13" ht="18" customHeight="1">
      <c r="A594" s="1626"/>
      <c r="B594" s="1599"/>
      <c r="C594" s="1600"/>
      <c r="D594" s="1602"/>
      <c r="E594" s="1603" t="s">
        <v>706</v>
      </c>
      <c r="F594" s="1502"/>
      <c r="G594" s="1502"/>
      <c r="H594" s="1502"/>
      <c r="I594" s="1502"/>
      <c r="J594" s="1502"/>
      <c r="K594" s="1502"/>
      <c r="L594" s="1502"/>
      <c r="M594" s="1502"/>
    </row>
    <row r="595" spans="1:13" ht="24" customHeight="1">
      <c r="A595" s="1626"/>
      <c r="B595" s="1599"/>
      <c r="C595" s="1600"/>
      <c r="D595" s="1602">
        <v>1</v>
      </c>
      <c r="E595" s="1604" t="s">
        <v>1031</v>
      </c>
      <c r="F595" s="1502">
        <v>0</v>
      </c>
      <c r="G595" s="1502">
        <v>0</v>
      </c>
      <c r="H595" s="1502">
        <v>0</v>
      </c>
      <c r="I595" s="1502">
        <v>0</v>
      </c>
      <c r="J595" s="1502">
        <v>0</v>
      </c>
      <c r="K595" s="1502">
        <v>0</v>
      </c>
      <c r="L595" s="1502">
        <v>0</v>
      </c>
      <c r="M595" s="1502">
        <f>F595+G595+H595+I595+J595+K595+L595</f>
        <v>0</v>
      </c>
    </row>
    <row r="596" spans="1:13" ht="24" customHeight="1">
      <c r="A596" s="1626"/>
      <c r="B596" s="1599"/>
      <c r="C596" s="1600"/>
      <c r="D596" s="1602">
        <v>2</v>
      </c>
      <c r="E596" s="1320" t="s">
        <v>1032</v>
      </c>
      <c r="F596" s="1502">
        <v>0</v>
      </c>
      <c r="G596" s="1502">
        <v>0</v>
      </c>
      <c r="H596" s="1502">
        <v>0</v>
      </c>
      <c r="I596" s="1502">
        <v>0</v>
      </c>
      <c r="J596" s="1502">
        <v>0</v>
      </c>
      <c r="K596" s="1502">
        <v>0</v>
      </c>
      <c r="L596" s="1502">
        <v>0</v>
      </c>
      <c r="M596" s="1502">
        <f>F596+G596+H596+I596+J596+K596+L596</f>
        <v>0</v>
      </c>
    </row>
    <row r="597" spans="1:13" ht="24" customHeight="1">
      <c r="A597" s="1626"/>
      <c r="B597" s="1599"/>
      <c r="C597" s="1600"/>
      <c r="D597" s="1602">
        <v>3</v>
      </c>
      <c r="E597" s="1320" t="s">
        <v>1033</v>
      </c>
      <c r="F597" s="1502">
        <v>0</v>
      </c>
      <c r="G597" s="1502">
        <v>0</v>
      </c>
      <c r="H597" s="1502">
        <v>0</v>
      </c>
      <c r="I597" s="1502">
        <v>0</v>
      </c>
      <c r="J597" s="1502">
        <v>0</v>
      </c>
      <c r="K597" s="1502">
        <v>0</v>
      </c>
      <c r="L597" s="1502">
        <v>0</v>
      </c>
      <c r="M597" s="1502">
        <f>F597+G597+H597+I597+J597+K597+L597</f>
        <v>0</v>
      </c>
    </row>
    <row r="598" spans="1:13" ht="24" customHeight="1">
      <c r="A598" s="1626"/>
      <c r="B598" s="1599"/>
      <c r="C598" s="1600"/>
      <c r="D598" s="1602">
        <v>4</v>
      </c>
      <c r="E598" s="1320" t="s">
        <v>1034</v>
      </c>
      <c r="F598" s="1502">
        <v>0</v>
      </c>
      <c r="G598" s="1502">
        <v>0</v>
      </c>
      <c r="H598" s="1502">
        <v>0</v>
      </c>
      <c r="I598" s="1502">
        <v>0</v>
      </c>
      <c r="J598" s="1502">
        <v>0</v>
      </c>
      <c r="K598" s="1502">
        <v>0</v>
      </c>
      <c r="L598" s="1502">
        <v>0</v>
      </c>
      <c r="M598" s="1502">
        <f>F598+G598+H598+I598+J598+K598+L598</f>
        <v>0</v>
      </c>
    </row>
    <row r="599" spans="1:13" ht="24" customHeight="1">
      <c r="A599" s="1626"/>
      <c r="B599" s="1599"/>
      <c r="C599" s="1605" t="s">
        <v>121</v>
      </c>
      <c r="D599" s="1601"/>
      <c r="E599" s="1315" t="s">
        <v>1035</v>
      </c>
      <c r="F599" s="1316">
        <v>0</v>
      </c>
      <c r="G599" s="1316">
        <v>0</v>
      </c>
      <c r="H599" s="1316">
        <v>0</v>
      </c>
      <c r="I599" s="1316">
        <v>0</v>
      </c>
      <c r="J599" s="1316">
        <v>0</v>
      </c>
      <c r="K599" s="1316">
        <v>0</v>
      </c>
      <c r="L599" s="1316">
        <f>L601</f>
        <v>100000</v>
      </c>
      <c r="M599" s="1316">
        <f>F599+G599+H599+I599+J599+K599+L599</f>
        <v>100000</v>
      </c>
    </row>
    <row r="600" spans="1:13" ht="18" customHeight="1">
      <c r="A600" s="1626"/>
      <c r="B600" s="1599"/>
      <c r="C600" s="1600"/>
      <c r="D600" s="1602"/>
      <c r="E600" s="1603" t="s">
        <v>706</v>
      </c>
      <c r="F600" s="1502"/>
      <c r="G600" s="1502"/>
      <c r="H600" s="1502"/>
      <c r="I600" s="1502"/>
      <c r="J600" s="1502"/>
      <c r="K600" s="1502"/>
      <c r="L600" s="1502"/>
      <c r="M600" s="1502"/>
    </row>
    <row r="601" spans="1:13" s="1630" customFormat="1" ht="41.25" customHeight="1" thickBot="1">
      <c r="A601" s="1632"/>
      <c r="B601" s="1627"/>
      <c r="C601" s="1628"/>
      <c r="D601" s="1602">
        <v>1</v>
      </c>
      <c r="E601" s="1320" t="s">
        <v>1036</v>
      </c>
      <c r="F601" s="1502">
        <v>0</v>
      </c>
      <c r="G601" s="1502">
        <v>0</v>
      </c>
      <c r="H601" s="1502">
        <v>0</v>
      </c>
      <c r="I601" s="1502">
        <v>0</v>
      </c>
      <c r="J601" s="1502">
        <v>0</v>
      </c>
      <c r="K601" s="1502">
        <v>0</v>
      </c>
      <c r="L601" s="1502">
        <v>100000</v>
      </c>
      <c r="M601" s="1502">
        <f>SUM(F601:L601)</f>
        <v>100000</v>
      </c>
    </row>
    <row r="602" spans="1:13" ht="42" customHeight="1" thickBot="1" thickTop="1">
      <c r="A602" s="1633"/>
      <c r="B602" s="1600"/>
      <c r="C602" s="1600"/>
      <c r="D602" s="1634"/>
      <c r="E602" s="1635" t="s">
        <v>124</v>
      </c>
      <c r="F602" s="1636">
        <f aca="true" t="shared" si="98" ref="F602:K602">F3+F14+F25+F36+F57+F98+F159+F170+F181+F212+F223+F244+F255+F376+F397+F468+F499+F550+F581</f>
        <v>6592665</v>
      </c>
      <c r="G602" s="1636">
        <f t="shared" si="98"/>
        <v>0</v>
      </c>
      <c r="H602" s="1636">
        <f t="shared" si="98"/>
        <v>17301</v>
      </c>
      <c r="I602" s="1636">
        <f t="shared" si="98"/>
        <v>24600</v>
      </c>
      <c r="J602" s="1636">
        <f t="shared" si="98"/>
        <v>34000</v>
      </c>
      <c r="K602" s="1636">
        <f t="shared" si="98"/>
        <v>10500</v>
      </c>
      <c r="L602" s="1636">
        <f>L3+L14+L25+L36+L57+L98+L159+L170+L181+L212+L223+L244+L255+L376+L397+L468+L499+L550+L581</f>
        <v>41506279</v>
      </c>
      <c r="M602" s="1636">
        <f>SUM(F602:L602)</f>
        <v>48185345</v>
      </c>
    </row>
    <row r="603" spans="1:13" ht="15.75" thickTop="1">
      <c r="A603" s="1637"/>
      <c r="D603" s="1638"/>
      <c r="E603" s="1639"/>
      <c r="F603" s="1640"/>
      <c r="G603" s="1640"/>
      <c r="H603" s="1640"/>
      <c r="I603" s="1640"/>
      <c r="J603" s="1640"/>
      <c r="K603" s="1640"/>
      <c r="M603" s="1642"/>
    </row>
    <row r="604" spans="1:13" ht="15">
      <c r="A604" s="1637"/>
      <c r="D604" s="1638"/>
      <c r="E604" s="1639"/>
      <c r="F604" s="1640"/>
      <c r="G604" s="1640"/>
      <c r="H604" s="1640"/>
      <c r="I604" s="1640"/>
      <c r="J604" s="1640"/>
      <c r="K604" s="1640"/>
      <c r="M604" s="1642"/>
    </row>
    <row r="605" ht="15">
      <c r="E605" s="1645"/>
    </row>
    <row r="606" spans="1:13" ht="22.5" customHeight="1">
      <c r="A606" s="1637"/>
      <c r="D606" s="1638"/>
      <c r="E606" s="1639"/>
      <c r="F606" s="1640"/>
      <c r="G606" s="1640"/>
      <c r="H606" s="1640"/>
      <c r="I606" s="1640"/>
      <c r="J606" s="1640"/>
      <c r="K606" s="1640"/>
      <c r="M606" s="1642"/>
    </row>
    <row r="607" spans="1:13" ht="33.75" customHeight="1">
      <c r="A607" s="1648"/>
      <c r="B607" s="1649"/>
      <c r="C607" s="1650" t="s">
        <v>602</v>
      </c>
      <c r="D607" s="1651"/>
      <c r="E607" s="1652" t="s">
        <v>1030</v>
      </c>
      <c r="F607" s="1653">
        <f>F5+F16+F27+F38+F48+F59+F69+F79+F89+F100+F110+F120+F130+F140+F150+F161+F172+F183+F193+F203+F214+F225+F235+F246+F257+F267+F277+F287+F297+F307+F317+F327+F337+F347+F357+F367+F378+F388+F399+F409+F419+F429+F439+F449+F459+F470+F480+F490+F501+F511+F521+F531+F541+F552+F562+F572+F583+F593</f>
        <v>6592665</v>
      </c>
      <c r="G607" s="1653">
        <f aca="true" t="shared" si="99" ref="G607:L607">G5+G16+G27+G38+G48+G59+G69+G79+G89+G100+G110+G120+G130+G140+G150+G161+G172+G183+G193+G203+G214+G225+G235+G246+G257+G267+G277+G287+G297+G307+G317+G327+G337+G347+G357+G367+G378+G388+G399+G409+G419+G429+G439+G449+G459+G470+G480+G490+G501+G511+G521+G531+G541+G552+G562+G572+G583+G593</f>
        <v>0</v>
      </c>
      <c r="H607" s="1653">
        <f t="shared" si="99"/>
        <v>17301</v>
      </c>
      <c r="I607" s="1653">
        <f t="shared" si="99"/>
        <v>24600</v>
      </c>
      <c r="J607" s="1653">
        <f t="shared" si="99"/>
        <v>0</v>
      </c>
      <c r="K607" s="1653">
        <f t="shared" si="99"/>
        <v>10500</v>
      </c>
      <c r="L607" s="1653">
        <f t="shared" si="99"/>
        <v>36853523</v>
      </c>
      <c r="M607" s="1654">
        <f>SUM(F607:L607)</f>
        <v>43498589</v>
      </c>
    </row>
    <row r="608" spans="1:13" s="1630" customFormat="1" ht="18" customHeight="1">
      <c r="A608" s="1655"/>
      <c r="B608" s="1599"/>
      <c r="C608" s="1600"/>
      <c r="D608" s="1602"/>
      <c r="E608" s="1603" t="s">
        <v>706</v>
      </c>
      <c r="F608" s="1502"/>
      <c r="G608" s="1502"/>
      <c r="H608" s="1502"/>
      <c r="I608" s="1502"/>
      <c r="J608" s="1502"/>
      <c r="K608" s="1502"/>
      <c r="L608" s="1502"/>
      <c r="M608" s="1656"/>
    </row>
    <row r="609" spans="1:13" s="1663" customFormat="1" ht="48" customHeight="1">
      <c r="A609" s="1657"/>
      <c r="B609" s="1658"/>
      <c r="C609" s="1659"/>
      <c r="D609" s="1916">
        <v>1</v>
      </c>
      <c r="E609" s="1661" t="s">
        <v>1031</v>
      </c>
      <c r="F609" s="1898">
        <f aca="true" t="shared" si="100" ref="F609:L615">F7+F18+F29+F40+F50+F61+F71+F81+F91+F102+F112+F122+F132+F142+F152+F163+F174+F185+F195+F205+F216+F227+F237+F248+F259+F269+F279+F289+F299+F309+F319+F329+F339+F349+F359+F369+F380+F390+F401+F411+F421+F431+F441+F451+F461+F472+F482+F492+F503+F513+F523+F533+F543+F554+F564+F574+F585+F595</f>
        <v>796105</v>
      </c>
      <c r="G609" s="1898">
        <f t="shared" si="100"/>
        <v>0</v>
      </c>
      <c r="H609" s="1898">
        <f t="shared" si="100"/>
        <v>3010</v>
      </c>
      <c r="I609" s="1898">
        <f t="shared" si="100"/>
        <v>2650</v>
      </c>
      <c r="J609" s="1898">
        <f t="shared" si="100"/>
        <v>0</v>
      </c>
      <c r="K609" s="1898">
        <f t="shared" si="100"/>
        <v>0</v>
      </c>
      <c r="L609" s="1898">
        <f t="shared" si="100"/>
        <v>20193960</v>
      </c>
      <c r="M609" s="1662">
        <f>SUM(F609:L609)</f>
        <v>20995725</v>
      </c>
    </row>
    <row r="610" spans="1:13" s="1663" customFormat="1" ht="27.75" customHeight="1">
      <c r="A610" s="1657"/>
      <c r="B610" s="1658"/>
      <c r="C610" s="1659"/>
      <c r="D610" s="1660">
        <v>2</v>
      </c>
      <c r="E610" s="1661" t="s">
        <v>1032</v>
      </c>
      <c r="F610" s="1898">
        <f t="shared" si="100"/>
        <v>0</v>
      </c>
      <c r="G610" s="1898">
        <f t="shared" si="100"/>
        <v>0</v>
      </c>
      <c r="H610" s="1898">
        <f t="shared" si="100"/>
        <v>0</v>
      </c>
      <c r="I610" s="1898">
        <f t="shared" si="100"/>
        <v>0</v>
      </c>
      <c r="J610" s="1898">
        <f t="shared" si="100"/>
        <v>0</v>
      </c>
      <c r="K610" s="1898">
        <f t="shared" si="100"/>
        <v>10500</v>
      </c>
      <c r="L610" s="1898">
        <f t="shared" si="100"/>
        <v>4462533</v>
      </c>
      <c r="M610" s="1662">
        <f>SUM(F610:L610)</f>
        <v>4473033</v>
      </c>
    </row>
    <row r="611" spans="1:13" s="1663" customFormat="1" ht="27.75" customHeight="1">
      <c r="A611" s="1657"/>
      <c r="B611" s="1658"/>
      <c r="C611" s="1659"/>
      <c r="D611" s="1660">
        <v>3</v>
      </c>
      <c r="E611" s="1661" t="s">
        <v>1033</v>
      </c>
      <c r="F611" s="1898">
        <f t="shared" si="100"/>
        <v>0</v>
      </c>
      <c r="G611" s="1898">
        <f t="shared" si="100"/>
        <v>0</v>
      </c>
      <c r="H611" s="1898">
        <f t="shared" si="100"/>
        <v>0</v>
      </c>
      <c r="I611" s="1898">
        <f t="shared" si="100"/>
        <v>0</v>
      </c>
      <c r="J611" s="1898">
        <f t="shared" si="100"/>
        <v>0</v>
      </c>
      <c r="K611" s="1898">
        <f t="shared" si="100"/>
        <v>0</v>
      </c>
      <c r="L611" s="1898">
        <f t="shared" si="100"/>
        <v>330000</v>
      </c>
      <c r="M611" s="1662">
        <f>SUM(F611:L611)</f>
        <v>330000</v>
      </c>
    </row>
    <row r="612" spans="1:13" s="1663" customFormat="1" ht="27.75" customHeight="1">
      <c r="A612" s="1657"/>
      <c r="B612" s="1658"/>
      <c r="C612" s="1659"/>
      <c r="D612" s="1660">
        <v>4</v>
      </c>
      <c r="E612" s="1661" t="s">
        <v>1034</v>
      </c>
      <c r="F612" s="1898">
        <f t="shared" si="100"/>
        <v>0</v>
      </c>
      <c r="G612" s="1898">
        <f t="shared" si="100"/>
        <v>0</v>
      </c>
      <c r="H612" s="1898">
        <f t="shared" si="100"/>
        <v>0</v>
      </c>
      <c r="I612" s="1898">
        <f t="shared" si="100"/>
        <v>0</v>
      </c>
      <c r="J612" s="1898">
        <f t="shared" si="100"/>
        <v>0</v>
      </c>
      <c r="K612" s="1898">
        <f t="shared" si="100"/>
        <v>0</v>
      </c>
      <c r="L612" s="1898">
        <f t="shared" si="100"/>
        <v>20000</v>
      </c>
      <c r="M612" s="1662">
        <f>SUM(F612:L612)</f>
        <v>20000</v>
      </c>
    </row>
    <row r="613" spans="1:13" ht="33.75" customHeight="1">
      <c r="A613" s="1655"/>
      <c r="B613" s="1599"/>
      <c r="C613" s="1605" t="s">
        <v>121</v>
      </c>
      <c r="D613" s="1601"/>
      <c r="E613" s="1664" t="s">
        <v>1035</v>
      </c>
      <c r="F613" s="1665">
        <f t="shared" si="100"/>
        <v>0</v>
      </c>
      <c r="G613" s="1665">
        <f t="shared" si="100"/>
        <v>0</v>
      </c>
      <c r="H613" s="1665">
        <f t="shared" si="100"/>
        <v>0</v>
      </c>
      <c r="I613" s="1665">
        <f t="shared" si="100"/>
        <v>0</v>
      </c>
      <c r="J613" s="1665">
        <f t="shared" si="100"/>
        <v>34000</v>
      </c>
      <c r="K613" s="1665">
        <f t="shared" si="100"/>
        <v>0</v>
      </c>
      <c r="L613" s="1665">
        <f t="shared" si="100"/>
        <v>4652756</v>
      </c>
      <c r="M613" s="1666">
        <f>SUM(F613:L613)</f>
        <v>4686756</v>
      </c>
    </row>
    <row r="614" spans="1:13" s="1630" customFormat="1" ht="18" customHeight="1">
      <c r="A614" s="1655"/>
      <c r="B614" s="1599"/>
      <c r="C614" s="1600"/>
      <c r="D614" s="1602"/>
      <c r="E614" s="1603" t="s">
        <v>706</v>
      </c>
      <c r="F614" s="1898">
        <f t="shared" si="100"/>
        <v>0</v>
      </c>
      <c r="G614" s="1898">
        <f t="shared" si="100"/>
        <v>0</v>
      </c>
      <c r="H614" s="1898">
        <f t="shared" si="100"/>
        <v>0</v>
      </c>
      <c r="I614" s="1898">
        <f t="shared" si="100"/>
        <v>0</v>
      </c>
      <c r="J614" s="1898">
        <f t="shared" si="100"/>
        <v>0</v>
      </c>
      <c r="K614" s="1898">
        <f t="shared" si="100"/>
        <v>0</v>
      </c>
      <c r="L614" s="1898">
        <f t="shared" si="100"/>
        <v>0</v>
      </c>
      <c r="M614" s="1667"/>
    </row>
    <row r="615" spans="1:13" s="1663" customFormat="1" ht="54.75" customHeight="1" thickBot="1">
      <c r="A615" s="1668"/>
      <c r="B615" s="1669"/>
      <c r="C615" s="1670"/>
      <c r="D615" s="1671">
        <v>1</v>
      </c>
      <c r="E615" s="1672" t="s">
        <v>1036</v>
      </c>
      <c r="F615" s="1898">
        <f t="shared" si="100"/>
        <v>0</v>
      </c>
      <c r="G615" s="1898">
        <f t="shared" si="100"/>
        <v>0</v>
      </c>
      <c r="H615" s="1898">
        <f t="shared" si="100"/>
        <v>0</v>
      </c>
      <c r="I615" s="1898">
        <f t="shared" si="100"/>
        <v>0</v>
      </c>
      <c r="J615" s="1898">
        <f t="shared" si="100"/>
        <v>34000</v>
      </c>
      <c r="K615" s="1898">
        <f t="shared" si="100"/>
        <v>0</v>
      </c>
      <c r="L615" s="1898">
        <f t="shared" si="100"/>
        <v>4652756</v>
      </c>
      <c r="M615" s="1673">
        <f>SUM(F615:L615)</f>
        <v>4686756</v>
      </c>
    </row>
    <row r="616" spans="1:13" s="1679" customFormat="1" ht="42" customHeight="1" thickBot="1" thickTop="1">
      <c r="A616" s="1674"/>
      <c r="B616" s="1675"/>
      <c r="C616" s="1675"/>
      <c r="D616" s="1676"/>
      <c r="E616" s="1677" t="s">
        <v>124</v>
      </c>
      <c r="F616" s="1678">
        <f aca="true" t="shared" si="101" ref="F616:L616">F607+F613</f>
        <v>6592665</v>
      </c>
      <c r="G616" s="1678">
        <f t="shared" si="101"/>
        <v>0</v>
      </c>
      <c r="H616" s="1678">
        <f t="shared" si="101"/>
        <v>17301</v>
      </c>
      <c r="I616" s="1678">
        <f t="shared" si="101"/>
        <v>24600</v>
      </c>
      <c r="J616" s="1678">
        <f t="shared" si="101"/>
        <v>34000</v>
      </c>
      <c r="K616" s="1678">
        <f t="shared" si="101"/>
        <v>10500</v>
      </c>
      <c r="L616" s="1678">
        <f t="shared" si="101"/>
        <v>41506279</v>
      </c>
      <c r="M616" s="1678">
        <f>SUM(F616:L616)</f>
        <v>48185345</v>
      </c>
    </row>
    <row r="617" spans="1:13" ht="15.75" thickTop="1">
      <c r="A617" s="1637"/>
      <c r="D617" s="1638"/>
      <c r="E617" s="1639"/>
      <c r="F617" s="1640"/>
      <c r="G617" s="1640"/>
      <c r="H617" s="1640"/>
      <c r="I617" s="1640"/>
      <c r="J617" s="1640"/>
      <c r="K617" s="1640"/>
      <c r="M617" s="1642"/>
    </row>
    <row r="618" spans="1:13" ht="37.5">
      <c r="A618" s="1968" t="s">
        <v>480</v>
      </c>
      <c r="B618" s="1968"/>
      <c r="C618" s="1968"/>
      <c r="D618" s="1968"/>
      <c r="E618" s="1968"/>
      <c r="F618" s="1968"/>
      <c r="G618" s="1968"/>
      <c r="H618" s="1968"/>
      <c r="I618" s="1968"/>
      <c r="J618" s="1968"/>
      <c r="K618" s="1968"/>
      <c r="L618" s="1968"/>
      <c r="M618" s="1968"/>
    </row>
    <row r="619" spans="5:13" ht="15">
      <c r="E619" s="1680"/>
      <c r="L619" s="1681"/>
      <c r="M619" s="1681"/>
    </row>
    <row r="620" spans="5:13" ht="15.75" thickBot="1">
      <c r="E620" s="1680"/>
      <c r="L620" s="1681"/>
      <c r="M620" s="1681"/>
    </row>
    <row r="621" spans="1:13" s="1685" customFormat="1" ht="37.5" customHeight="1" thickTop="1">
      <c r="A621" s="1899">
        <f>A3</f>
        <v>1</v>
      </c>
      <c r="B621" s="1900" t="str">
        <f>B3</f>
        <v>010</v>
      </c>
      <c r="C621" s="1901"/>
      <c r="D621" s="1902"/>
      <c r="E621" s="1902" t="str">
        <f aca="true" t="shared" si="102" ref="E621:M621">E3</f>
        <v>ROLNICTWO I ŁOWIECTWO</v>
      </c>
      <c r="F621" s="1903">
        <f t="shared" si="102"/>
        <v>0</v>
      </c>
      <c r="G621" s="1903">
        <f t="shared" si="102"/>
        <v>0</v>
      </c>
      <c r="H621" s="1903">
        <f>H3</f>
        <v>0</v>
      </c>
      <c r="I621" s="1903">
        <f t="shared" si="102"/>
        <v>0</v>
      </c>
      <c r="J621" s="1903">
        <f>J3</f>
        <v>0</v>
      </c>
      <c r="K621" s="1903">
        <f t="shared" si="102"/>
        <v>0</v>
      </c>
      <c r="L621" s="1903">
        <f t="shared" si="102"/>
        <v>12000</v>
      </c>
      <c r="M621" s="1904">
        <f t="shared" si="102"/>
        <v>12000</v>
      </c>
    </row>
    <row r="622" spans="1:13" s="1692" customFormat="1" ht="55.5" customHeight="1">
      <c r="A622" s="1907">
        <f>A14</f>
        <v>2</v>
      </c>
      <c r="B622" s="1686">
        <f>B14</f>
        <v>400</v>
      </c>
      <c r="C622" s="1693"/>
      <c r="D622" s="1687"/>
      <c r="E622" s="1694" t="str">
        <f aca="true" t="shared" si="103" ref="E622:M622">E14</f>
        <v>WYTWARZANIE I ZAOPARTRYWANIE W ENERGIĘ ELEKTRYCZNĄ, GAZ I WODĘ</v>
      </c>
      <c r="F622" s="1695">
        <f t="shared" si="103"/>
        <v>0</v>
      </c>
      <c r="G622" s="1695">
        <f t="shared" si="103"/>
        <v>0</v>
      </c>
      <c r="H622" s="1695">
        <f t="shared" si="103"/>
        <v>0</v>
      </c>
      <c r="I622" s="1695">
        <f t="shared" si="103"/>
        <v>0</v>
      </c>
      <c r="J622" s="1695">
        <f t="shared" si="103"/>
        <v>0</v>
      </c>
      <c r="K622" s="1695">
        <f t="shared" si="103"/>
        <v>0</v>
      </c>
      <c r="L622" s="1695">
        <f t="shared" si="103"/>
        <v>5000</v>
      </c>
      <c r="M622" s="1908">
        <f t="shared" si="103"/>
        <v>5000</v>
      </c>
    </row>
    <row r="623" spans="1:13" s="1692" customFormat="1" ht="37.5" customHeight="1">
      <c r="A623" s="1905">
        <f>A25</f>
        <v>3</v>
      </c>
      <c r="B623" s="1683">
        <f>B25</f>
        <v>600</v>
      </c>
      <c r="C623" s="1688"/>
      <c r="D623" s="1689"/>
      <c r="E623" s="1690" t="str">
        <f aca="true" t="shared" si="104" ref="E623:M623">E25</f>
        <v>TRANSPORT I ŁĄCZNOŚĆ</v>
      </c>
      <c r="F623" s="1691">
        <f t="shared" si="104"/>
        <v>0</v>
      </c>
      <c r="G623" s="1691">
        <f t="shared" si="104"/>
        <v>0</v>
      </c>
      <c r="H623" s="1691">
        <f>H25</f>
        <v>0</v>
      </c>
      <c r="I623" s="1691">
        <f t="shared" si="104"/>
        <v>0</v>
      </c>
      <c r="J623" s="1691">
        <f>J25</f>
        <v>0</v>
      </c>
      <c r="K623" s="1691">
        <f t="shared" si="104"/>
        <v>0</v>
      </c>
      <c r="L623" s="1691">
        <f t="shared" si="104"/>
        <v>3282176</v>
      </c>
      <c r="M623" s="1906">
        <f t="shared" si="104"/>
        <v>3282176</v>
      </c>
    </row>
    <row r="624" spans="1:13" s="1692" customFormat="1" ht="37.5" customHeight="1">
      <c r="A624" s="1907">
        <f>A36</f>
        <v>4</v>
      </c>
      <c r="B624" s="1686">
        <f>B36</f>
        <v>700</v>
      </c>
      <c r="C624" s="1693"/>
      <c r="D624" s="1687"/>
      <c r="E624" s="1694" t="str">
        <f aca="true" t="shared" si="105" ref="E624:M624">E36</f>
        <v>GOSPODARKA MIESZKANIOWA</v>
      </c>
      <c r="F624" s="1695">
        <f t="shared" si="105"/>
        <v>0</v>
      </c>
      <c r="G624" s="1695">
        <f t="shared" si="105"/>
        <v>0</v>
      </c>
      <c r="H624" s="1695">
        <f>H36</f>
        <v>0</v>
      </c>
      <c r="I624" s="1695">
        <f t="shared" si="105"/>
        <v>0</v>
      </c>
      <c r="J624" s="1695">
        <f>J36</f>
        <v>0</v>
      </c>
      <c r="K624" s="1695">
        <f t="shared" si="105"/>
        <v>0</v>
      </c>
      <c r="L624" s="1695">
        <f t="shared" si="105"/>
        <v>495000</v>
      </c>
      <c r="M624" s="1908">
        <f t="shared" si="105"/>
        <v>495000</v>
      </c>
    </row>
    <row r="625" spans="1:13" s="1685" customFormat="1" ht="37.5" customHeight="1">
      <c r="A625" s="1905">
        <f>A57</f>
        <v>5</v>
      </c>
      <c r="B625" s="1682">
        <f>B57</f>
        <v>710</v>
      </c>
      <c r="C625" s="1696"/>
      <c r="D625" s="1684"/>
      <c r="E625" s="1697" t="str">
        <f aca="true" t="shared" si="106" ref="E625:M625">E57</f>
        <v>DZIAŁALNOŚĆ USŁUGOWA</v>
      </c>
      <c r="F625" s="1691">
        <f t="shared" si="106"/>
        <v>0</v>
      </c>
      <c r="G625" s="1691">
        <f t="shared" si="106"/>
        <v>0</v>
      </c>
      <c r="H625" s="1691">
        <f>H57</f>
        <v>0</v>
      </c>
      <c r="I625" s="1691">
        <f t="shared" si="106"/>
        <v>0</v>
      </c>
      <c r="J625" s="1691">
        <f>J57</f>
        <v>0</v>
      </c>
      <c r="K625" s="1691">
        <f t="shared" si="106"/>
        <v>0</v>
      </c>
      <c r="L625" s="1691">
        <f t="shared" si="106"/>
        <v>848000</v>
      </c>
      <c r="M625" s="1906">
        <f t="shared" si="106"/>
        <v>848000</v>
      </c>
    </row>
    <row r="626" spans="1:13" s="1692" customFormat="1" ht="37.5" customHeight="1">
      <c r="A626" s="1907">
        <f>A98</f>
        <v>6</v>
      </c>
      <c r="B626" s="1686">
        <f>B98</f>
        <v>750</v>
      </c>
      <c r="C626" s="1693"/>
      <c r="D626" s="1687"/>
      <c r="E626" s="1694" t="str">
        <f aca="true" t="shared" si="107" ref="E626:M626">E98</f>
        <v>ADMINISTRACJA PUBLICZNA</v>
      </c>
      <c r="F626" s="1695">
        <f t="shared" si="107"/>
        <v>165665</v>
      </c>
      <c r="G626" s="1695">
        <f t="shared" si="107"/>
        <v>0</v>
      </c>
      <c r="H626" s="1695">
        <f>H98</f>
        <v>0</v>
      </c>
      <c r="I626" s="1695">
        <f t="shared" si="107"/>
        <v>0</v>
      </c>
      <c r="J626" s="1695">
        <f>J98</f>
        <v>34000</v>
      </c>
      <c r="K626" s="1695">
        <f t="shared" si="107"/>
        <v>0</v>
      </c>
      <c r="L626" s="1695">
        <f t="shared" si="107"/>
        <v>4266743</v>
      </c>
      <c r="M626" s="1908">
        <f t="shared" si="107"/>
        <v>4466408</v>
      </c>
    </row>
    <row r="627" spans="1:13" s="1685" customFormat="1" ht="72" customHeight="1">
      <c r="A627" s="1905">
        <f>A159</f>
        <v>7</v>
      </c>
      <c r="B627" s="1682">
        <f>B159</f>
        <v>751</v>
      </c>
      <c r="C627" s="1696"/>
      <c r="D627" s="1684"/>
      <c r="E627" s="1697" t="str">
        <f aca="true" t="shared" si="108" ref="E627:M627">E159</f>
        <v>URZĘDY NACZELNYCH ORGANÓW WŁADZY PAŃSTWOWEJ, KONTROLI I OCHRONY PRAWA ORAZ SĄDOWNICTWA</v>
      </c>
      <c r="F627" s="1691">
        <f t="shared" si="108"/>
        <v>2800</v>
      </c>
      <c r="G627" s="1691">
        <f t="shared" si="108"/>
        <v>0</v>
      </c>
      <c r="H627" s="1691">
        <f>H159</f>
        <v>0</v>
      </c>
      <c r="I627" s="1691">
        <f t="shared" si="108"/>
        <v>0</v>
      </c>
      <c r="J627" s="1691">
        <f>J159</f>
        <v>0</v>
      </c>
      <c r="K627" s="1691">
        <f t="shared" si="108"/>
        <v>0</v>
      </c>
      <c r="L627" s="1691">
        <f t="shared" si="108"/>
        <v>0</v>
      </c>
      <c r="M627" s="1906">
        <f t="shared" si="108"/>
        <v>2800</v>
      </c>
    </row>
    <row r="628" spans="1:13" s="1685" customFormat="1" ht="37.5" customHeight="1">
      <c r="A628" s="1907">
        <f>A170</f>
        <v>8</v>
      </c>
      <c r="B628" s="1686">
        <f>B170</f>
        <v>752</v>
      </c>
      <c r="C628" s="1693"/>
      <c r="D628" s="1687"/>
      <c r="E628" s="1694" t="str">
        <f aca="true" t="shared" si="109" ref="E628:M628">E170</f>
        <v>OBRONA NARODOWA</v>
      </c>
      <c r="F628" s="1695">
        <f t="shared" si="109"/>
        <v>0</v>
      </c>
      <c r="G628" s="1695">
        <f t="shared" si="109"/>
        <v>0</v>
      </c>
      <c r="H628" s="1695">
        <f>H170</f>
        <v>0</v>
      </c>
      <c r="I628" s="1695">
        <f t="shared" si="109"/>
        <v>0</v>
      </c>
      <c r="J628" s="1695">
        <f>J170</f>
        <v>0</v>
      </c>
      <c r="K628" s="1695">
        <f t="shared" si="109"/>
        <v>0</v>
      </c>
      <c r="L628" s="1695">
        <f t="shared" si="109"/>
        <v>2000</v>
      </c>
      <c r="M628" s="1908">
        <f t="shared" si="109"/>
        <v>2000</v>
      </c>
    </row>
    <row r="629" spans="1:13" s="1692" customFormat="1" ht="48.75" customHeight="1">
      <c r="A629" s="1905">
        <f>A181</f>
        <v>9</v>
      </c>
      <c r="B629" s="1682">
        <f>B181</f>
        <v>754</v>
      </c>
      <c r="C629" s="1696"/>
      <c r="D629" s="1684"/>
      <c r="E629" s="1697" t="str">
        <f aca="true" t="shared" si="110" ref="E629:M629">E181</f>
        <v>BEZPIECZEŃSTWO PUBLICZNE I OCHRONA PRZECIWPOŻAROWA</v>
      </c>
      <c r="F629" s="1691">
        <f t="shared" si="110"/>
        <v>200</v>
      </c>
      <c r="G629" s="1691">
        <f t="shared" si="110"/>
        <v>0</v>
      </c>
      <c r="H629" s="1691">
        <f>H181</f>
        <v>0</v>
      </c>
      <c r="I629" s="1691">
        <f t="shared" si="110"/>
        <v>0</v>
      </c>
      <c r="J629" s="1691">
        <f>J181</f>
        <v>0</v>
      </c>
      <c r="K629" s="1691">
        <f t="shared" si="110"/>
        <v>0</v>
      </c>
      <c r="L629" s="1691">
        <f t="shared" si="110"/>
        <v>536188</v>
      </c>
      <c r="M629" s="1906">
        <f t="shared" si="110"/>
        <v>536388</v>
      </c>
    </row>
    <row r="630" spans="1:13" s="1692" customFormat="1" ht="106.5" customHeight="1">
      <c r="A630" s="1907">
        <f>A212</f>
        <v>10</v>
      </c>
      <c r="B630" s="1686">
        <f>B212</f>
        <v>756</v>
      </c>
      <c r="C630" s="1693"/>
      <c r="D630" s="1687"/>
      <c r="E630" s="1694" t="str">
        <f aca="true" t="shared" si="111" ref="E630:M630">E212</f>
        <v>DOCHODY OD OSÓB PRAWNYCH, OD OSÓB FIZYCZNYCH I OD INNYCH JEDNOSTEK NIEPOSIADAJĄCYCH OSOBOWOŚCI PRAWNEJ ORAZ WYDATKI ZWIĄZANE Z ICH POBOREM</v>
      </c>
      <c r="F630" s="1695">
        <f t="shared" si="111"/>
        <v>0</v>
      </c>
      <c r="G630" s="1695">
        <f t="shared" si="111"/>
        <v>0</v>
      </c>
      <c r="H630" s="1695">
        <f>H212</f>
        <v>0</v>
      </c>
      <c r="I630" s="1695">
        <f t="shared" si="111"/>
        <v>0</v>
      </c>
      <c r="J630" s="1695">
        <f>J212</f>
        <v>0</v>
      </c>
      <c r="K630" s="1695">
        <f t="shared" si="111"/>
        <v>0</v>
      </c>
      <c r="L630" s="1695">
        <f t="shared" si="111"/>
        <v>338000</v>
      </c>
      <c r="M630" s="1908">
        <f t="shared" si="111"/>
        <v>338000</v>
      </c>
    </row>
    <row r="631" spans="1:13" s="1685" customFormat="1" ht="37.5" customHeight="1">
      <c r="A631" s="1905">
        <f>A223</f>
        <v>11</v>
      </c>
      <c r="B631" s="1682">
        <f>B223</f>
        <v>757</v>
      </c>
      <c r="C631" s="1696"/>
      <c r="D631" s="1684"/>
      <c r="E631" s="1697" t="str">
        <f aca="true" t="shared" si="112" ref="E631:M631">E223</f>
        <v>OBSŁUGA DŁUGU PUBLICZNEGO</v>
      </c>
      <c r="F631" s="1691">
        <f t="shared" si="112"/>
        <v>0</v>
      </c>
      <c r="G631" s="1691">
        <f t="shared" si="112"/>
        <v>0</v>
      </c>
      <c r="H631" s="1691">
        <f>H223</f>
        <v>0</v>
      </c>
      <c r="I631" s="1691">
        <f t="shared" si="112"/>
        <v>0</v>
      </c>
      <c r="J631" s="1691">
        <f>J223</f>
        <v>0</v>
      </c>
      <c r="K631" s="1691">
        <f t="shared" si="112"/>
        <v>0</v>
      </c>
      <c r="L631" s="1691">
        <f t="shared" si="112"/>
        <v>350000</v>
      </c>
      <c r="M631" s="1906">
        <f t="shared" si="112"/>
        <v>350000</v>
      </c>
    </row>
    <row r="632" spans="1:13" s="1692" customFormat="1" ht="37.5" customHeight="1">
      <c r="A632" s="1907">
        <f>A244</f>
        <v>12</v>
      </c>
      <c r="B632" s="1686">
        <f>B244</f>
        <v>758</v>
      </c>
      <c r="C632" s="1693"/>
      <c r="D632" s="1687"/>
      <c r="E632" s="1694" t="str">
        <f aca="true" t="shared" si="113" ref="E632:M632">E244</f>
        <v>RÓŻNE ROZLICZENIA</v>
      </c>
      <c r="F632" s="1695">
        <f t="shared" si="113"/>
        <v>0</v>
      </c>
      <c r="G632" s="1695">
        <f t="shared" si="113"/>
        <v>0</v>
      </c>
      <c r="H632" s="1695">
        <f>H244</f>
        <v>0</v>
      </c>
      <c r="I632" s="1695">
        <f t="shared" si="113"/>
        <v>0</v>
      </c>
      <c r="J632" s="1695">
        <f>J244</f>
        <v>0</v>
      </c>
      <c r="K632" s="1695">
        <f t="shared" si="113"/>
        <v>0</v>
      </c>
      <c r="L632" s="1695">
        <f t="shared" si="113"/>
        <v>354000</v>
      </c>
      <c r="M632" s="1908">
        <f t="shared" si="113"/>
        <v>354000</v>
      </c>
    </row>
    <row r="633" spans="1:13" s="1685" customFormat="1" ht="37.5" customHeight="1">
      <c r="A633" s="1905">
        <f>A255</f>
        <v>13</v>
      </c>
      <c r="B633" s="1682">
        <f>B255</f>
        <v>801</v>
      </c>
      <c r="C633" s="1696"/>
      <c r="D633" s="1684"/>
      <c r="E633" s="1697" t="str">
        <f aca="true" t="shared" si="114" ref="E633:M633">E255</f>
        <v>OŚWIATA I WYCHOWANIE</v>
      </c>
      <c r="F633" s="1691">
        <f t="shared" si="114"/>
        <v>0</v>
      </c>
      <c r="G633" s="1691">
        <f t="shared" si="114"/>
        <v>0</v>
      </c>
      <c r="H633" s="1691">
        <f>H255</f>
        <v>0</v>
      </c>
      <c r="I633" s="1691">
        <f t="shared" si="114"/>
        <v>24600</v>
      </c>
      <c r="J633" s="1691">
        <f>J255</f>
        <v>0</v>
      </c>
      <c r="K633" s="1691">
        <f t="shared" si="114"/>
        <v>0</v>
      </c>
      <c r="L633" s="1691">
        <f t="shared" si="114"/>
        <v>21943107</v>
      </c>
      <c r="M633" s="1906">
        <f t="shared" si="114"/>
        <v>21967707</v>
      </c>
    </row>
    <row r="634" spans="1:13" s="1692" customFormat="1" ht="37.5" customHeight="1">
      <c r="A634" s="1907">
        <f>A376</f>
        <v>14</v>
      </c>
      <c r="B634" s="1686">
        <f>B376</f>
        <v>851</v>
      </c>
      <c r="C634" s="1693"/>
      <c r="D634" s="1687"/>
      <c r="E634" s="1694" t="str">
        <f aca="true" t="shared" si="115" ref="E634:M634">E376</f>
        <v>OCHRONA ZDROWIA</v>
      </c>
      <c r="F634" s="1695">
        <f t="shared" si="115"/>
        <v>0</v>
      </c>
      <c r="G634" s="1695">
        <f t="shared" si="115"/>
        <v>0</v>
      </c>
      <c r="H634" s="1695">
        <f>H376</f>
        <v>0</v>
      </c>
      <c r="I634" s="1695">
        <f t="shared" si="115"/>
        <v>0</v>
      </c>
      <c r="J634" s="1695">
        <f>J376</f>
        <v>0</v>
      </c>
      <c r="K634" s="1695">
        <f t="shared" si="115"/>
        <v>0</v>
      </c>
      <c r="L634" s="1695">
        <f t="shared" si="115"/>
        <v>250000</v>
      </c>
      <c r="M634" s="1908">
        <f t="shared" si="115"/>
        <v>250000</v>
      </c>
    </row>
    <row r="635" spans="1:13" s="1685" customFormat="1" ht="37.5" customHeight="1">
      <c r="A635" s="1905">
        <f>A397</f>
        <v>15</v>
      </c>
      <c r="B635" s="1682">
        <f>B397</f>
        <v>852</v>
      </c>
      <c r="C635" s="1696"/>
      <c r="D635" s="1684"/>
      <c r="E635" s="1697" t="str">
        <f aca="true" t="shared" si="116" ref="E635:M635">E397</f>
        <v>POMOC SPOŁECZNA</v>
      </c>
      <c r="F635" s="1691">
        <f t="shared" si="116"/>
        <v>6424000</v>
      </c>
      <c r="G635" s="1691">
        <f t="shared" si="116"/>
        <v>0</v>
      </c>
      <c r="H635" s="1691">
        <f>H397</f>
        <v>0</v>
      </c>
      <c r="I635" s="1691">
        <f t="shared" si="116"/>
        <v>0</v>
      </c>
      <c r="J635" s="1691">
        <f>J397</f>
        <v>0</v>
      </c>
      <c r="K635" s="1691">
        <f t="shared" si="116"/>
        <v>0</v>
      </c>
      <c r="L635" s="1691">
        <f t="shared" si="116"/>
        <v>3056000</v>
      </c>
      <c r="M635" s="1906">
        <f t="shared" si="116"/>
        <v>9480000</v>
      </c>
    </row>
    <row r="636" spans="1:13" s="1692" customFormat="1" ht="37.5" customHeight="1">
      <c r="A636" s="1907">
        <f>A468</f>
        <v>16</v>
      </c>
      <c r="B636" s="1686">
        <f>B468</f>
        <v>854</v>
      </c>
      <c r="C636" s="1693"/>
      <c r="D636" s="1687"/>
      <c r="E636" s="1694" t="str">
        <f aca="true" t="shared" si="117" ref="E636:M636">E468</f>
        <v>EDUKACYJNA OPIEKA WYCHOWAWCZA</v>
      </c>
      <c r="F636" s="1695">
        <f t="shared" si="117"/>
        <v>0</v>
      </c>
      <c r="G636" s="1695">
        <f t="shared" si="117"/>
        <v>0</v>
      </c>
      <c r="H636" s="1695">
        <f>H468</f>
        <v>17301</v>
      </c>
      <c r="I636" s="1695">
        <f t="shared" si="117"/>
        <v>0</v>
      </c>
      <c r="J636" s="1695">
        <f>J468</f>
        <v>0</v>
      </c>
      <c r="K636" s="1695">
        <f t="shared" si="117"/>
        <v>0</v>
      </c>
      <c r="L636" s="1695">
        <f t="shared" si="117"/>
        <v>1361123</v>
      </c>
      <c r="M636" s="1908">
        <f t="shared" si="117"/>
        <v>1378424</v>
      </c>
    </row>
    <row r="637" spans="1:13" s="1685" customFormat="1" ht="49.5" customHeight="1">
      <c r="A637" s="1905">
        <f>A499</f>
        <v>17</v>
      </c>
      <c r="B637" s="1682">
        <f>B499</f>
        <v>900</v>
      </c>
      <c r="C637" s="1696"/>
      <c r="D637" s="1684"/>
      <c r="E637" s="1697" t="str">
        <f aca="true" t="shared" si="118" ref="E637:M637">E499</f>
        <v>GOSPODARKA KOMUNALNA I OCHRONA ŚRODOWISKA</v>
      </c>
      <c r="F637" s="1691">
        <f t="shared" si="118"/>
        <v>0</v>
      </c>
      <c r="G637" s="1691">
        <f t="shared" si="118"/>
        <v>0</v>
      </c>
      <c r="H637" s="1691">
        <f>H499</f>
        <v>0</v>
      </c>
      <c r="I637" s="1691">
        <f t="shared" si="118"/>
        <v>0</v>
      </c>
      <c r="J637" s="1691">
        <f>J499</f>
        <v>0</v>
      </c>
      <c r="K637" s="1691">
        <f t="shared" si="118"/>
        <v>0</v>
      </c>
      <c r="L637" s="1691">
        <f t="shared" si="118"/>
        <v>2526580</v>
      </c>
      <c r="M637" s="1906">
        <f t="shared" si="118"/>
        <v>2526580</v>
      </c>
    </row>
    <row r="638" spans="1:13" s="1692" customFormat="1" ht="51" customHeight="1">
      <c r="A638" s="1907">
        <f>A550</f>
        <v>18</v>
      </c>
      <c r="B638" s="1686">
        <f>B550</f>
        <v>921</v>
      </c>
      <c r="C638" s="1693"/>
      <c r="D638" s="1687"/>
      <c r="E638" s="1694" t="str">
        <f aca="true" t="shared" si="119" ref="E638:M638">E550</f>
        <v>KULTURA I OCHRONA DZIEDZICTWA NARODOWEGO</v>
      </c>
      <c r="F638" s="1695">
        <f t="shared" si="119"/>
        <v>0</v>
      </c>
      <c r="G638" s="1695">
        <f t="shared" si="119"/>
        <v>0</v>
      </c>
      <c r="H638" s="1695">
        <f>H550</f>
        <v>0</v>
      </c>
      <c r="I638" s="1695">
        <f t="shared" si="119"/>
        <v>0</v>
      </c>
      <c r="J638" s="1695">
        <f>J550</f>
        <v>0</v>
      </c>
      <c r="K638" s="1695">
        <f t="shared" si="119"/>
        <v>10500</v>
      </c>
      <c r="L638" s="1695">
        <f t="shared" si="119"/>
        <v>1757862</v>
      </c>
      <c r="M638" s="1908">
        <f t="shared" si="119"/>
        <v>1768362</v>
      </c>
    </row>
    <row r="639" spans="1:13" s="1685" customFormat="1" ht="37.5" customHeight="1" thickBot="1">
      <c r="A639" s="1909">
        <f>A581</f>
        <v>19</v>
      </c>
      <c r="B639" s="1910">
        <f>B581</f>
        <v>926</v>
      </c>
      <c r="C639" s="1911"/>
      <c r="D639" s="1912"/>
      <c r="E639" s="1913" t="str">
        <f aca="true" t="shared" si="120" ref="E639:M639">E581</f>
        <v> KULTURA FIZYCZNA I SPORT</v>
      </c>
      <c r="F639" s="1914">
        <f t="shared" si="120"/>
        <v>0</v>
      </c>
      <c r="G639" s="1914">
        <f t="shared" si="120"/>
        <v>0</v>
      </c>
      <c r="H639" s="1914">
        <f>H581</f>
        <v>0</v>
      </c>
      <c r="I639" s="1914">
        <f t="shared" si="120"/>
        <v>0</v>
      </c>
      <c r="J639" s="1914">
        <f>J581</f>
        <v>0</v>
      </c>
      <c r="K639" s="1914">
        <f t="shared" si="120"/>
        <v>0</v>
      </c>
      <c r="L639" s="1914">
        <f t="shared" si="120"/>
        <v>122500</v>
      </c>
      <c r="M639" s="1915">
        <f t="shared" si="120"/>
        <v>122500</v>
      </c>
    </row>
    <row r="640" spans="1:13" ht="51.75" customHeight="1" thickBot="1" thickTop="1">
      <c r="A640" s="1698"/>
      <c r="B640" s="1699"/>
      <c r="C640" s="1699"/>
      <c r="D640" s="1699"/>
      <c r="E640" s="1700" t="str">
        <f>E602</f>
        <v>O G Ó Ł E M    W Y D A T K I</v>
      </c>
      <c r="F640" s="1701">
        <f>SUM(F621:F639)</f>
        <v>6592665</v>
      </c>
      <c r="G640" s="1701">
        <f aca="true" t="shared" si="121" ref="G640:L640">SUM(G621:G639)</f>
        <v>0</v>
      </c>
      <c r="H640" s="1701">
        <f t="shared" si="121"/>
        <v>17301</v>
      </c>
      <c r="I640" s="1701">
        <f t="shared" si="121"/>
        <v>24600</v>
      </c>
      <c r="J640" s="1701">
        <f t="shared" si="121"/>
        <v>34000</v>
      </c>
      <c r="K640" s="1701">
        <f t="shared" si="121"/>
        <v>10500</v>
      </c>
      <c r="L640" s="1701">
        <f t="shared" si="121"/>
        <v>41506279</v>
      </c>
      <c r="M640" s="1702">
        <f>SUM(M621:M639)</f>
        <v>48185345</v>
      </c>
    </row>
    <row r="641" spans="5:13" ht="15.75" thickTop="1">
      <c r="E641" s="1703"/>
      <c r="M641" s="1704"/>
    </row>
    <row r="642" spans="5:13" ht="25.5" customHeight="1">
      <c r="E642" s="1705">
        <f>29999901-29976692</f>
        <v>23209</v>
      </c>
      <c r="F642" s="1706"/>
      <c r="G642" s="1706"/>
      <c r="H642" s="1706"/>
      <c r="I642" s="1706"/>
      <c r="J642" s="1706"/>
      <c r="K642" s="1706"/>
      <c r="M642" s="1704">
        <f>SUM(F640:L640)</f>
        <v>48185345</v>
      </c>
    </row>
    <row r="643" spans="5:13" ht="27" customHeight="1">
      <c r="E643" s="1705"/>
      <c r="M643" s="1704"/>
    </row>
    <row r="644" spans="5:13" ht="27" customHeight="1">
      <c r="E644" s="1705"/>
      <c r="M644" s="1704"/>
    </row>
    <row r="645" spans="5:13" ht="27" customHeight="1">
      <c r="E645" s="1705"/>
      <c r="M645" s="1704"/>
    </row>
    <row r="646" spans="5:13" ht="15">
      <c r="E646" s="1645"/>
      <c r="M646" s="1704"/>
    </row>
    <row r="647" spans="5:13" ht="15">
      <c r="E647" s="1645"/>
      <c r="M647" s="1704"/>
    </row>
    <row r="648" spans="5:13" ht="15">
      <c r="E648" s="1645"/>
      <c r="M648" s="1704"/>
    </row>
    <row r="649" spans="5:13" ht="15">
      <c r="E649" s="1645"/>
      <c r="M649" s="1704"/>
    </row>
    <row r="650" spans="5:13" ht="15">
      <c r="E650" s="1645"/>
      <c r="M650" s="1704"/>
    </row>
    <row r="651" spans="5:13" ht="15">
      <c r="E651" s="1645"/>
      <c r="M651" s="1704"/>
    </row>
    <row r="652" spans="5:13" ht="15">
      <c r="E652" s="1645"/>
      <c r="M652" s="1704"/>
    </row>
    <row r="653" spans="5:13" ht="15">
      <c r="E653" s="1645"/>
      <c r="M653" s="1704"/>
    </row>
    <row r="654" spans="5:13" ht="15">
      <c r="E654" s="1645"/>
      <c r="M654" s="1704"/>
    </row>
    <row r="655" spans="5:13" ht="15">
      <c r="E655" s="1645"/>
      <c r="M655" s="1704"/>
    </row>
    <row r="656" spans="5:13" ht="15">
      <c r="E656" s="1645"/>
      <c r="M656" s="1704"/>
    </row>
    <row r="657" spans="5:13" ht="15">
      <c r="E657" s="1645"/>
      <c r="M657" s="1704"/>
    </row>
    <row r="658" spans="5:13" ht="15">
      <c r="E658" s="1645"/>
      <c r="M658" s="1704"/>
    </row>
    <row r="659" spans="5:13" ht="15">
      <c r="E659" s="1645"/>
      <c r="M659" s="1704"/>
    </row>
    <row r="660" spans="5:13" ht="15">
      <c r="E660" s="1645"/>
      <c r="M660" s="1704"/>
    </row>
    <row r="661" spans="5:13" ht="15">
      <c r="E661" s="1645"/>
      <c r="M661" s="1704"/>
    </row>
    <row r="662" spans="5:13" ht="15">
      <c r="E662" s="1645"/>
      <c r="M662" s="1704"/>
    </row>
    <row r="663" spans="5:13" ht="15">
      <c r="E663" s="1645"/>
      <c r="M663" s="1704"/>
    </row>
    <row r="664" spans="5:13" ht="15">
      <c r="E664" s="1645"/>
      <c r="M664" s="1704"/>
    </row>
    <row r="665" spans="5:13" ht="15">
      <c r="E665" s="1645"/>
      <c r="M665" s="1704"/>
    </row>
    <row r="666" spans="5:13" ht="15">
      <c r="E666" s="1645"/>
      <c r="M666" s="1704"/>
    </row>
    <row r="667" spans="5:13" ht="15">
      <c r="E667" s="1645"/>
      <c r="M667" s="1704"/>
    </row>
    <row r="668" spans="5:13" ht="15">
      <c r="E668" s="1645"/>
      <c r="M668" s="1704"/>
    </row>
    <row r="669" spans="5:13" ht="15">
      <c r="E669" s="1645"/>
      <c r="M669" s="1704"/>
    </row>
    <row r="670" spans="5:13" ht="15">
      <c r="E670" s="1645"/>
      <c r="M670" s="1704"/>
    </row>
    <row r="671" spans="5:13" ht="15">
      <c r="E671" s="1645"/>
      <c r="M671" s="1704"/>
    </row>
    <row r="672" spans="5:13" ht="15">
      <c r="E672" s="1645"/>
      <c r="M672" s="1704"/>
    </row>
    <row r="673" spans="5:13" ht="15">
      <c r="E673" s="1645"/>
      <c r="M673" s="1704"/>
    </row>
    <row r="674" spans="5:13" ht="15">
      <c r="E674" s="1645"/>
      <c r="M674" s="1704"/>
    </row>
    <row r="675" spans="5:13" ht="15">
      <c r="E675" s="1645"/>
      <c r="M675" s="1704"/>
    </row>
    <row r="676" spans="5:13" ht="15">
      <c r="E676" s="1645"/>
      <c r="M676" s="1704"/>
    </row>
    <row r="677" spans="5:13" ht="15">
      <c r="E677" s="1645"/>
      <c r="M677" s="1704"/>
    </row>
    <row r="678" spans="5:13" ht="15">
      <c r="E678" s="1645"/>
      <c r="M678" s="1704"/>
    </row>
    <row r="679" spans="5:13" ht="15">
      <c r="E679" s="1645"/>
      <c r="M679" s="1704"/>
    </row>
    <row r="680" spans="5:13" ht="15">
      <c r="E680" s="1645"/>
      <c r="M680" s="1704"/>
    </row>
    <row r="681" spans="5:13" ht="15">
      <c r="E681" s="1645"/>
      <c r="M681" s="1704"/>
    </row>
    <row r="682" spans="5:13" ht="15">
      <c r="E682" s="1645"/>
      <c r="M682" s="1704"/>
    </row>
    <row r="683" spans="5:13" ht="15">
      <c r="E683" s="1645"/>
      <c r="F683" s="1707"/>
      <c r="G683" s="1707"/>
      <c r="H683" s="1707"/>
      <c r="I683" s="1707"/>
      <c r="J683" s="1707"/>
      <c r="K683" s="1707"/>
      <c r="L683" s="1704"/>
      <c r="M683" s="1704"/>
    </row>
    <row r="684" spans="5:13" ht="15">
      <c r="E684" s="1645"/>
      <c r="F684" s="1707"/>
      <c r="G684" s="1707"/>
      <c r="H684" s="1707"/>
      <c r="I684" s="1707"/>
      <c r="J684" s="1707"/>
      <c r="K684" s="1707"/>
      <c r="L684" s="1704"/>
      <c r="M684" s="1704"/>
    </row>
    <row r="685" spans="5:13" ht="15">
      <c r="E685" s="1645"/>
      <c r="F685" s="1707"/>
      <c r="G685" s="1707"/>
      <c r="H685" s="1707"/>
      <c r="I685" s="1707"/>
      <c r="J685" s="1707"/>
      <c r="K685" s="1707"/>
      <c r="L685" s="1704"/>
      <c r="M685" s="1704"/>
    </row>
    <row r="686" spans="5:13" ht="15">
      <c r="E686" s="1645"/>
      <c r="F686" s="1707"/>
      <c r="G686" s="1707"/>
      <c r="H686" s="1707"/>
      <c r="I686" s="1707"/>
      <c r="J686" s="1707"/>
      <c r="K686" s="1707"/>
      <c r="L686" s="1704"/>
      <c r="M686" s="1704"/>
    </row>
    <row r="687" spans="5:13" ht="15">
      <c r="E687" s="1645"/>
      <c r="F687" s="1707"/>
      <c r="G687" s="1707"/>
      <c r="H687" s="1707"/>
      <c r="I687" s="1707"/>
      <c r="J687" s="1707"/>
      <c r="K687" s="1707"/>
      <c r="L687" s="1704"/>
      <c r="M687" s="1704"/>
    </row>
    <row r="688" spans="5:13" ht="15">
      <c r="E688" s="1645"/>
      <c r="F688" s="1707"/>
      <c r="G688" s="1707"/>
      <c r="H688" s="1707"/>
      <c r="I688" s="1707"/>
      <c r="J688" s="1707"/>
      <c r="K688" s="1707"/>
      <c r="L688" s="1704"/>
      <c r="M688" s="1704"/>
    </row>
    <row r="689" spans="5:13" ht="15">
      <c r="E689" s="1645"/>
      <c r="F689" s="1707"/>
      <c r="G689" s="1707"/>
      <c r="H689" s="1707"/>
      <c r="I689" s="1707"/>
      <c r="J689" s="1707"/>
      <c r="K689" s="1707"/>
      <c r="L689" s="1704"/>
      <c r="M689" s="1704"/>
    </row>
    <row r="690" spans="5:13" ht="15">
      <c r="E690" s="1645"/>
      <c r="F690" s="1707"/>
      <c r="G690" s="1707"/>
      <c r="H690" s="1707"/>
      <c r="I690" s="1707"/>
      <c r="J690" s="1707"/>
      <c r="K690" s="1707"/>
      <c r="L690" s="1704"/>
      <c r="M690" s="1704"/>
    </row>
    <row r="691" spans="5:13" ht="15">
      <c r="E691" s="1645"/>
      <c r="F691" s="1707"/>
      <c r="G691" s="1707"/>
      <c r="H691" s="1707"/>
      <c r="I691" s="1707"/>
      <c r="J691" s="1707"/>
      <c r="K691" s="1707"/>
      <c r="L691" s="1704"/>
      <c r="M691" s="1704"/>
    </row>
    <row r="692" spans="5:13" ht="15">
      <c r="E692" s="1645"/>
      <c r="F692" s="1707"/>
      <c r="G692" s="1707"/>
      <c r="H692" s="1707"/>
      <c r="I692" s="1707"/>
      <c r="J692" s="1707"/>
      <c r="K692" s="1707"/>
      <c r="L692" s="1704"/>
      <c r="M692" s="1704"/>
    </row>
    <row r="693" spans="5:13" ht="15">
      <c r="E693" s="1645"/>
      <c r="F693" s="1707"/>
      <c r="G693" s="1707"/>
      <c r="H693" s="1707"/>
      <c r="I693" s="1707"/>
      <c r="J693" s="1707"/>
      <c r="K693" s="1707"/>
      <c r="L693" s="1704"/>
      <c r="M693" s="1704"/>
    </row>
    <row r="694" spans="5:13" ht="15">
      <c r="E694" s="1645"/>
      <c r="F694" s="1707"/>
      <c r="G694" s="1707"/>
      <c r="H694" s="1707"/>
      <c r="I694" s="1707"/>
      <c r="J694" s="1707"/>
      <c r="K694" s="1707"/>
      <c r="L694" s="1704"/>
      <c r="M694" s="1704"/>
    </row>
    <row r="695" spans="5:13" ht="15">
      <c r="E695" s="1645"/>
      <c r="F695" s="1707"/>
      <c r="G695" s="1707"/>
      <c r="H695" s="1707"/>
      <c r="I695" s="1707"/>
      <c r="J695" s="1707"/>
      <c r="K695" s="1707"/>
      <c r="L695" s="1704"/>
      <c r="M695" s="1704"/>
    </row>
    <row r="696" spans="5:13" ht="15">
      <c r="E696" s="1645"/>
      <c r="F696" s="1707"/>
      <c r="G696" s="1707"/>
      <c r="H696" s="1707"/>
      <c r="I696" s="1707"/>
      <c r="J696" s="1707"/>
      <c r="K696" s="1707"/>
      <c r="L696" s="1704"/>
      <c r="M696" s="1704"/>
    </row>
    <row r="697" spans="5:13" ht="15">
      <c r="E697" s="1645"/>
      <c r="F697" s="1707"/>
      <c r="G697" s="1707"/>
      <c r="H697" s="1707"/>
      <c r="I697" s="1707"/>
      <c r="J697" s="1707"/>
      <c r="K697" s="1707"/>
      <c r="L697" s="1704"/>
      <c r="M697" s="1704"/>
    </row>
    <row r="698" spans="5:13" ht="15">
      <c r="E698" s="1645"/>
      <c r="F698" s="1707"/>
      <c r="G698" s="1707"/>
      <c r="H698" s="1707"/>
      <c r="I698" s="1707"/>
      <c r="J698" s="1707"/>
      <c r="K698" s="1707"/>
      <c r="L698" s="1704"/>
      <c r="M698" s="1704"/>
    </row>
    <row r="699" spans="5:13" ht="15">
      <c r="E699" s="1645"/>
      <c r="F699" s="1707"/>
      <c r="G699" s="1707"/>
      <c r="H699" s="1707"/>
      <c r="I699" s="1707"/>
      <c r="J699" s="1707"/>
      <c r="K699" s="1707"/>
      <c r="L699" s="1704"/>
      <c r="M699" s="1704"/>
    </row>
    <row r="700" spans="5:13" ht="15">
      <c r="E700" s="1645"/>
      <c r="F700" s="1707"/>
      <c r="G700" s="1707"/>
      <c r="H700" s="1707"/>
      <c r="I700" s="1707"/>
      <c r="J700" s="1707"/>
      <c r="K700" s="1707"/>
      <c r="L700" s="1704"/>
      <c r="M700" s="1704"/>
    </row>
    <row r="701" spans="5:13" ht="15">
      <c r="E701" s="1645"/>
      <c r="F701" s="1707"/>
      <c r="G701" s="1707"/>
      <c r="H701" s="1707"/>
      <c r="I701" s="1707"/>
      <c r="J701" s="1707"/>
      <c r="K701" s="1707"/>
      <c r="L701" s="1704"/>
      <c r="M701" s="1704"/>
    </row>
    <row r="702" spans="5:13" ht="15">
      <c r="E702" s="1645"/>
      <c r="F702" s="1707"/>
      <c r="G702" s="1707"/>
      <c r="H702" s="1707"/>
      <c r="I702" s="1707"/>
      <c r="J702" s="1707"/>
      <c r="K702" s="1707"/>
      <c r="L702" s="1704"/>
      <c r="M702" s="1704"/>
    </row>
    <row r="703" spans="5:13" ht="15">
      <c r="E703" s="1645"/>
      <c r="F703" s="1707"/>
      <c r="G703" s="1707"/>
      <c r="H703" s="1707"/>
      <c r="I703" s="1707"/>
      <c r="J703" s="1707"/>
      <c r="K703" s="1707"/>
      <c r="L703" s="1704"/>
      <c r="M703" s="1704"/>
    </row>
    <row r="704" spans="5:13" ht="15">
      <c r="E704" s="1645"/>
      <c r="F704" s="1707"/>
      <c r="G704" s="1707"/>
      <c r="H704" s="1707"/>
      <c r="I704" s="1707"/>
      <c r="J704" s="1707"/>
      <c r="K704" s="1707"/>
      <c r="L704" s="1704"/>
      <c r="M704" s="1704"/>
    </row>
    <row r="705" spans="5:13" ht="15">
      <c r="E705" s="1645"/>
      <c r="F705" s="1707"/>
      <c r="G705" s="1707"/>
      <c r="H705" s="1707"/>
      <c r="I705" s="1707"/>
      <c r="J705" s="1707"/>
      <c r="K705" s="1707"/>
      <c r="L705" s="1704"/>
      <c r="M705" s="1704"/>
    </row>
    <row r="706" spans="5:13" ht="15">
      <c r="E706" s="1645"/>
      <c r="F706" s="1707"/>
      <c r="G706" s="1707"/>
      <c r="H706" s="1707"/>
      <c r="I706" s="1707"/>
      <c r="J706" s="1707"/>
      <c r="K706" s="1707"/>
      <c r="L706" s="1704"/>
      <c r="M706" s="1704"/>
    </row>
    <row r="707" spans="5:13" ht="15">
      <c r="E707" s="1645"/>
      <c r="F707" s="1707"/>
      <c r="G707" s="1707"/>
      <c r="H707" s="1707"/>
      <c r="I707" s="1707"/>
      <c r="J707" s="1707"/>
      <c r="K707" s="1707"/>
      <c r="L707" s="1704"/>
      <c r="M707" s="1704"/>
    </row>
    <row r="708" spans="5:13" ht="15">
      <c r="E708" s="1645"/>
      <c r="F708" s="1707"/>
      <c r="G708" s="1707"/>
      <c r="H708" s="1707"/>
      <c r="I708" s="1707"/>
      <c r="J708" s="1707"/>
      <c r="K708" s="1707"/>
      <c r="L708" s="1704"/>
      <c r="M708" s="1704"/>
    </row>
    <row r="709" spans="5:13" ht="15">
      <c r="E709" s="1645"/>
      <c r="F709" s="1707"/>
      <c r="G709" s="1707"/>
      <c r="H709" s="1707"/>
      <c r="I709" s="1707"/>
      <c r="J709" s="1707"/>
      <c r="K709" s="1707"/>
      <c r="L709" s="1704"/>
      <c r="M709" s="1704"/>
    </row>
    <row r="710" spans="5:13" ht="15">
      <c r="E710" s="1645"/>
      <c r="F710" s="1707"/>
      <c r="G710" s="1707"/>
      <c r="H710" s="1707"/>
      <c r="I710" s="1707"/>
      <c r="J710" s="1707"/>
      <c r="K710" s="1707"/>
      <c r="L710" s="1704"/>
      <c r="M710" s="1704"/>
    </row>
    <row r="711" spans="5:13" ht="15">
      <c r="E711" s="1645"/>
      <c r="F711" s="1707"/>
      <c r="G711" s="1707"/>
      <c r="H711" s="1707"/>
      <c r="I711" s="1707"/>
      <c r="J711" s="1707"/>
      <c r="K711" s="1707"/>
      <c r="L711" s="1704"/>
      <c r="M711" s="1704"/>
    </row>
    <row r="712" spans="5:13" ht="15">
      <c r="E712" s="1645"/>
      <c r="F712" s="1707"/>
      <c r="G712" s="1707"/>
      <c r="H712" s="1707"/>
      <c r="I712" s="1707"/>
      <c r="J712" s="1707"/>
      <c r="K712" s="1707"/>
      <c r="L712" s="1704"/>
      <c r="M712" s="1704"/>
    </row>
    <row r="713" spans="5:13" ht="15">
      <c r="E713" s="1645"/>
      <c r="F713" s="1707"/>
      <c r="G713" s="1707"/>
      <c r="H713" s="1707"/>
      <c r="I713" s="1707"/>
      <c r="J713" s="1707"/>
      <c r="K713" s="1707"/>
      <c r="L713" s="1704"/>
      <c r="M713" s="1704"/>
    </row>
    <row r="714" spans="5:13" ht="15">
      <c r="E714" s="1645"/>
      <c r="F714" s="1707"/>
      <c r="G714" s="1707"/>
      <c r="H714" s="1707"/>
      <c r="I714" s="1707"/>
      <c r="J714" s="1707"/>
      <c r="K714" s="1707"/>
      <c r="L714" s="1704"/>
      <c r="M714" s="1704"/>
    </row>
    <row r="715" spans="5:13" ht="15">
      <c r="E715" s="1645"/>
      <c r="F715" s="1707"/>
      <c r="G715" s="1707"/>
      <c r="H715" s="1707"/>
      <c r="I715" s="1707"/>
      <c r="J715" s="1707"/>
      <c r="K715" s="1707"/>
      <c r="L715" s="1704"/>
      <c r="M715" s="1704"/>
    </row>
    <row r="716" spans="5:13" ht="15">
      <c r="E716" s="1645"/>
      <c r="F716" s="1707"/>
      <c r="G716" s="1707"/>
      <c r="H716" s="1707"/>
      <c r="I716" s="1707"/>
      <c r="J716" s="1707"/>
      <c r="K716" s="1707"/>
      <c r="L716" s="1704"/>
      <c r="M716" s="1704"/>
    </row>
    <row r="717" spans="5:13" ht="15">
      <c r="E717" s="1645"/>
      <c r="F717" s="1707"/>
      <c r="G717" s="1707"/>
      <c r="H717" s="1707"/>
      <c r="I717" s="1707"/>
      <c r="J717" s="1707"/>
      <c r="K717" s="1707"/>
      <c r="L717" s="1704"/>
      <c r="M717" s="1704"/>
    </row>
    <row r="718" spans="5:13" ht="15">
      <c r="E718" s="1645"/>
      <c r="F718" s="1707"/>
      <c r="G718" s="1707"/>
      <c r="H718" s="1707"/>
      <c r="I718" s="1707"/>
      <c r="J718" s="1707"/>
      <c r="K718" s="1707"/>
      <c r="L718" s="1704"/>
      <c r="M718" s="1704"/>
    </row>
    <row r="719" spans="5:13" ht="15">
      <c r="E719" s="1645"/>
      <c r="F719" s="1707"/>
      <c r="G719" s="1707"/>
      <c r="H719" s="1707"/>
      <c r="I719" s="1707"/>
      <c r="J719" s="1707"/>
      <c r="K719" s="1707"/>
      <c r="L719" s="1704"/>
      <c r="M719" s="1704"/>
    </row>
    <row r="720" spans="5:13" ht="15">
      <c r="E720" s="1645"/>
      <c r="F720" s="1707"/>
      <c r="G720" s="1707"/>
      <c r="H720" s="1707"/>
      <c r="I720" s="1707"/>
      <c r="J720" s="1707"/>
      <c r="K720" s="1707"/>
      <c r="L720" s="1704"/>
      <c r="M720" s="1704"/>
    </row>
    <row r="721" spans="5:13" ht="15">
      <c r="E721" s="1645"/>
      <c r="F721" s="1707"/>
      <c r="G721" s="1707"/>
      <c r="H721" s="1707"/>
      <c r="I721" s="1707"/>
      <c r="J721" s="1707"/>
      <c r="K721" s="1707"/>
      <c r="L721" s="1704"/>
      <c r="M721" s="1704"/>
    </row>
    <row r="722" spans="5:13" ht="15">
      <c r="E722" s="1645"/>
      <c r="F722" s="1707"/>
      <c r="G722" s="1707"/>
      <c r="H722" s="1707"/>
      <c r="I722" s="1707"/>
      <c r="J722" s="1707"/>
      <c r="K722" s="1707"/>
      <c r="L722" s="1704"/>
      <c r="M722" s="1704"/>
    </row>
    <row r="723" spans="5:13" ht="15">
      <c r="E723" s="1645"/>
      <c r="F723" s="1707"/>
      <c r="G723" s="1707"/>
      <c r="H723" s="1707"/>
      <c r="I723" s="1707"/>
      <c r="J723" s="1707"/>
      <c r="K723" s="1707"/>
      <c r="L723" s="1704"/>
      <c r="M723" s="1704"/>
    </row>
    <row r="724" spans="5:13" ht="15">
      <c r="E724" s="1645"/>
      <c r="F724" s="1707"/>
      <c r="G724" s="1707"/>
      <c r="H724" s="1707"/>
      <c r="I724" s="1707"/>
      <c r="J724" s="1707"/>
      <c r="K724" s="1707"/>
      <c r="L724" s="1704"/>
      <c r="M724" s="1704"/>
    </row>
    <row r="725" spans="5:13" ht="15">
      <c r="E725" s="1645"/>
      <c r="F725" s="1707"/>
      <c r="G725" s="1707"/>
      <c r="H725" s="1707"/>
      <c r="I725" s="1707"/>
      <c r="J725" s="1707"/>
      <c r="K725" s="1707"/>
      <c r="L725" s="1704"/>
      <c r="M725" s="1704"/>
    </row>
    <row r="726" spans="5:13" ht="15">
      <c r="E726" s="1645"/>
      <c r="F726" s="1707"/>
      <c r="G726" s="1707"/>
      <c r="H726" s="1707"/>
      <c r="I726" s="1707"/>
      <c r="J726" s="1707"/>
      <c r="K726" s="1707"/>
      <c r="L726" s="1704"/>
      <c r="M726" s="1704"/>
    </row>
    <row r="727" spans="5:13" ht="15">
      <c r="E727" s="1645"/>
      <c r="F727" s="1707"/>
      <c r="G727" s="1707"/>
      <c r="H727" s="1707"/>
      <c r="I727" s="1707"/>
      <c r="J727" s="1707"/>
      <c r="K727" s="1707"/>
      <c r="L727" s="1704"/>
      <c r="M727" s="1704"/>
    </row>
    <row r="728" spans="5:13" ht="15">
      <c r="E728" s="1645"/>
      <c r="F728" s="1707"/>
      <c r="G728" s="1707"/>
      <c r="H728" s="1707"/>
      <c r="I728" s="1707"/>
      <c r="J728" s="1707"/>
      <c r="K728" s="1707"/>
      <c r="L728" s="1704"/>
      <c r="M728" s="1704"/>
    </row>
    <row r="729" spans="5:13" ht="15">
      <c r="E729" s="1645"/>
      <c r="F729" s="1707"/>
      <c r="G729" s="1707"/>
      <c r="H729" s="1707"/>
      <c r="I729" s="1707"/>
      <c r="J729" s="1707"/>
      <c r="K729" s="1707"/>
      <c r="L729" s="1704"/>
      <c r="M729" s="1704"/>
    </row>
    <row r="730" spans="5:13" ht="15">
      <c r="E730" s="1645"/>
      <c r="F730" s="1707"/>
      <c r="G730" s="1707"/>
      <c r="H730" s="1707"/>
      <c r="I730" s="1707"/>
      <c r="J730" s="1707"/>
      <c r="K730" s="1707"/>
      <c r="L730" s="1704"/>
      <c r="M730" s="1704"/>
    </row>
    <row r="731" spans="5:13" ht="15">
      <c r="E731" s="1645"/>
      <c r="F731" s="1707"/>
      <c r="G731" s="1707"/>
      <c r="H731" s="1707"/>
      <c r="I731" s="1707"/>
      <c r="J731" s="1707"/>
      <c r="K731" s="1707"/>
      <c r="L731" s="1704"/>
      <c r="M731" s="1704"/>
    </row>
    <row r="732" spans="5:13" ht="15">
      <c r="E732" s="1645"/>
      <c r="F732" s="1707"/>
      <c r="G732" s="1707"/>
      <c r="H732" s="1707"/>
      <c r="I732" s="1707"/>
      <c r="J732" s="1707"/>
      <c r="K732" s="1707"/>
      <c r="L732" s="1704"/>
      <c r="M732" s="1704"/>
    </row>
    <row r="733" spans="5:13" ht="15">
      <c r="E733" s="1645"/>
      <c r="F733" s="1707"/>
      <c r="G733" s="1707"/>
      <c r="H733" s="1707"/>
      <c r="I733" s="1707"/>
      <c r="J733" s="1707"/>
      <c r="K733" s="1707"/>
      <c r="L733" s="1704"/>
      <c r="M733" s="1704"/>
    </row>
    <row r="734" spans="5:13" ht="15">
      <c r="E734" s="1645"/>
      <c r="F734" s="1707"/>
      <c r="G734" s="1707"/>
      <c r="H734" s="1707"/>
      <c r="I734" s="1707"/>
      <c r="J734" s="1707"/>
      <c r="K734" s="1707"/>
      <c r="L734" s="1704"/>
      <c r="M734" s="1704"/>
    </row>
    <row r="735" spans="5:13" ht="15">
      <c r="E735" s="1645"/>
      <c r="F735" s="1707"/>
      <c r="G735" s="1707"/>
      <c r="H735" s="1707"/>
      <c r="I735" s="1707"/>
      <c r="J735" s="1707"/>
      <c r="K735" s="1707"/>
      <c r="L735" s="1704"/>
      <c r="M735" s="1704"/>
    </row>
    <row r="736" spans="5:13" ht="15">
      <c r="E736" s="1645"/>
      <c r="F736" s="1707"/>
      <c r="G736" s="1707"/>
      <c r="H736" s="1707"/>
      <c r="I736" s="1707"/>
      <c r="J736" s="1707"/>
      <c r="K736" s="1707"/>
      <c r="L736" s="1704"/>
      <c r="M736" s="1704"/>
    </row>
    <row r="737" spans="5:13" ht="15">
      <c r="E737" s="1645"/>
      <c r="F737" s="1707"/>
      <c r="G737" s="1707"/>
      <c r="H737" s="1707"/>
      <c r="I737" s="1707"/>
      <c r="J737" s="1707"/>
      <c r="K737" s="1707"/>
      <c r="L737" s="1704"/>
      <c r="M737" s="1704"/>
    </row>
    <row r="738" spans="5:13" ht="15">
      <c r="E738" s="1645"/>
      <c r="F738" s="1707"/>
      <c r="G738" s="1707"/>
      <c r="H738" s="1707"/>
      <c r="I738" s="1707"/>
      <c r="J738" s="1707"/>
      <c r="K738" s="1707"/>
      <c r="L738" s="1704"/>
      <c r="M738" s="1704"/>
    </row>
    <row r="739" spans="5:13" ht="15">
      <c r="E739" s="1645"/>
      <c r="F739" s="1707"/>
      <c r="G739" s="1707"/>
      <c r="H739" s="1707"/>
      <c r="I739" s="1707"/>
      <c r="J739" s="1707"/>
      <c r="K739" s="1707"/>
      <c r="L739" s="1704"/>
      <c r="M739" s="1704"/>
    </row>
    <row r="740" spans="5:13" ht="15">
      <c r="E740" s="1645"/>
      <c r="F740" s="1707"/>
      <c r="G740" s="1707"/>
      <c r="H740" s="1707"/>
      <c r="I740" s="1707"/>
      <c r="J740" s="1707"/>
      <c r="K740" s="1707"/>
      <c r="L740" s="1704"/>
      <c r="M740" s="1704"/>
    </row>
    <row r="741" spans="5:13" ht="15">
      <c r="E741" s="1645"/>
      <c r="F741" s="1707"/>
      <c r="G741" s="1707"/>
      <c r="H741" s="1707"/>
      <c r="I741" s="1707"/>
      <c r="J741" s="1707"/>
      <c r="K741" s="1707"/>
      <c r="L741" s="1704"/>
      <c r="M741" s="1704"/>
    </row>
    <row r="742" spans="5:13" ht="15">
      <c r="E742" s="1645"/>
      <c r="F742" s="1707"/>
      <c r="G742" s="1707"/>
      <c r="H742" s="1707"/>
      <c r="I742" s="1707"/>
      <c r="J742" s="1707"/>
      <c r="K742" s="1707"/>
      <c r="L742" s="1704"/>
      <c r="M742" s="1704"/>
    </row>
    <row r="743" spans="5:13" ht="15">
      <c r="E743" s="1645"/>
      <c r="F743" s="1707"/>
      <c r="G743" s="1707"/>
      <c r="H743" s="1707"/>
      <c r="I743" s="1707"/>
      <c r="J743" s="1707"/>
      <c r="K743" s="1707"/>
      <c r="L743" s="1704"/>
      <c r="M743" s="1704"/>
    </row>
    <row r="744" spans="5:13" ht="15">
      <c r="E744" s="1645"/>
      <c r="F744" s="1707"/>
      <c r="G744" s="1707"/>
      <c r="H744" s="1707"/>
      <c r="I744" s="1707"/>
      <c r="J744" s="1707"/>
      <c r="K744" s="1707"/>
      <c r="L744" s="1704"/>
      <c r="M744" s="1704"/>
    </row>
    <row r="745" spans="5:13" ht="15">
      <c r="E745" s="1645"/>
      <c r="F745" s="1707"/>
      <c r="G745" s="1707"/>
      <c r="H745" s="1707"/>
      <c r="I745" s="1707"/>
      <c r="J745" s="1707"/>
      <c r="K745" s="1707"/>
      <c r="L745" s="1704"/>
      <c r="M745" s="1704"/>
    </row>
    <row r="746" spans="5:13" ht="15">
      <c r="E746" s="1645"/>
      <c r="F746" s="1707"/>
      <c r="G746" s="1707"/>
      <c r="H746" s="1707"/>
      <c r="I746" s="1707"/>
      <c r="J746" s="1707"/>
      <c r="K746" s="1707"/>
      <c r="L746" s="1704"/>
      <c r="M746" s="1704"/>
    </row>
    <row r="747" spans="5:13" ht="15">
      <c r="E747" s="1645"/>
      <c r="F747" s="1707"/>
      <c r="G747" s="1707"/>
      <c r="H747" s="1707"/>
      <c r="I747" s="1707"/>
      <c r="J747" s="1707"/>
      <c r="K747" s="1707"/>
      <c r="L747" s="1704"/>
      <c r="M747" s="1704"/>
    </row>
    <row r="748" spans="5:13" ht="15">
      <c r="E748" s="1645"/>
      <c r="F748" s="1707"/>
      <c r="G748" s="1707"/>
      <c r="H748" s="1707"/>
      <c r="I748" s="1707"/>
      <c r="J748" s="1707"/>
      <c r="K748" s="1707"/>
      <c r="L748" s="1704"/>
      <c r="M748" s="1704"/>
    </row>
    <row r="749" spans="5:13" ht="15">
      <c r="E749" s="1645"/>
      <c r="F749" s="1707"/>
      <c r="G749" s="1707"/>
      <c r="H749" s="1707"/>
      <c r="I749" s="1707"/>
      <c r="J749" s="1707"/>
      <c r="K749" s="1707"/>
      <c r="L749" s="1704"/>
      <c r="M749" s="1704"/>
    </row>
    <row r="750" spans="5:13" ht="15">
      <c r="E750" s="1645"/>
      <c r="F750" s="1707"/>
      <c r="G750" s="1707"/>
      <c r="H750" s="1707"/>
      <c r="I750" s="1707"/>
      <c r="J750" s="1707"/>
      <c r="K750" s="1707"/>
      <c r="L750" s="1704"/>
      <c r="M750" s="1704"/>
    </row>
    <row r="751" spans="5:13" ht="15">
      <c r="E751" s="1645"/>
      <c r="F751" s="1707"/>
      <c r="G751" s="1707"/>
      <c r="H751" s="1707"/>
      <c r="I751" s="1707"/>
      <c r="J751" s="1707"/>
      <c r="K751" s="1707"/>
      <c r="L751" s="1704"/>
      <c r="M751" s="1704"/>
    </row>
    <row r="752" spans="5:13" ht="15">
      <c r="E752" s="1645"/>
      <c r="F752" s="1707"/>
      <c r="G752" s="1707"/>
      <c r="H752" s="1707"/>
      <c r="I752" s="1707"/>
      <c r="J752" s="1707"/>
      <c r="K752" s="1707"/>
      <c r="L752" s="1704"/>
      <c r="M752" s="1704"/>
    </row>
    <row r="753" spans="5:13" ht="15">
      <c r="E753" s="1645"/>
      <c r="F753" s="1707"/>
      <c r="G753" s="1707"/>
      <c r="H753" s="1707"/>
      <c r="I753" s="1707"/>
      <c r="J753" s="1707"/>
      <c r="K753" s="1707"/>
      <c r="L753" s="1704"/>
      <c r="M753" s="1704"/>
    </row>
    <row r="754" spans="5:13" ht="15">
      <c r="E754" s="1645"/>
      <c r="F754" s="1707"/>
      <c r="G754" s="1707"/>
      <c r="H754" s="1707"/>
      <c r="I754" s="1707"/>
      <c r="J754" s="1707"/>
      <c r="K754" s="1707"/>
      <c r="L754" s="1704"/>
      <c r="M754" s="1704"/>
    </row>
    <row r="755" spans="5:13" ht="15">
      <c r="E755" s="1645"/>
      <c r="F755" s="1707"/>
      <c r="G755" s="1707"/>
      <c r="H755" s="1707"/>
      <c r="I755" s="1707"/>
      <c r="J755" s="1707"/>
      <c r="K755" s="1707"/>
      <c r="L755" s="1704"/>
      <c r="M755" s="1704"/>
    </row>
    <row r="756" spans="5:13" ht="15">
      <c r="E756" s="1645"/>
      <c r="F756" s="1707"/>
      <c r="G756" s="1707"/>
      <c r="H756" s="1707"/>
      <c r="I756" s="1707"/>
      <c r="J756" s="1707"/>
      <c r="K756" s="1707"/>
      <c r="L756" s="1704"/>
      <c r="M756" s="1704"/>
    </row>
    <row r="757" spans="5:13" ht="15">
      <c r="E757" s="1645"/>
      <c r="F757" s="1707"/>
      <c r="G757" s="1707"/>
      <c r="H757" s="1707"/>
      <c r="I757" s="1707"/>
      <c r="J757" s="1707"/>
      <c r="K757" s="1707"/>
      <c r="L757" s="1704"/>
      <c r="M757" s="1704"/>
    </row>
    <row r="758" spans="5:13" ht="15">
      <c r="E758" s="1645"/>
      <c r="F758" s="1707"/>
      <c r="G758" s="1707"/>
      <c r="H758" s="1707"/>
      <c r="I758" s="1707"/>
      <c r="J758" s="1707"/>
      <c r="K758" s="1707"/>
      <c r="L758" s="1704"/>
      <c r="M758" s="1704"/>
    </row>
    <row r="759" spans="5:13" ht="15">
      <c r="E759" s="1645"/>
      <c r="F759" s="1707"/>
      <c r="G759" s="1707"/>
      <c r="H759" s="1707"/>
      <c r="I759" s="1707"/>
      <c r="J759" s="1707"/>
      <c r="K759" s="1707"/>
      <c r="L759" s="1704"/>
      <c r="M759" s="1704"/>
    </row>
    <row r="760" spans="5:13" ht="15">
      <c r="E760" s="1645"/>
      <c r="F760" s="1707"/>
      <c r="G760" s="1707"/>
      <c r="H760" s="1707"/>
      <c r="I760" s="1707"/>
      <c r="J760" s="1707"/>
      <c r="K760" s="1707"/>
      <c r="L760" s="1704"/>
      <c r="M760" s="1704"/>
    </row>
    <row r="761" spans="5:13" ht="15">
      <c r="E761" s="1645"/>
      <c r="F761" s="1707"/>
      <c r="G761" s="1707"/>
      <c r="H761" s="1707"/>
      <c r="I761" s="1707"/>
      <c r="J761" s="1707"/>
      <c r="K761" s="1707"/>
      <c r="L761" s="1704"/>
      <c r="M761" s="1704"/>
    </row>
    <row r="762" spans="5:13" ht="15">
      <c r="E762" s="1645"/>
      <c r="F762" s="1707"/>
      <c r="G762" s="1707"/>
      <c r="H762" s="1707"/>
      <c r="I762" s="1707"/>
      <c r="J762" s="1707"/>
      <c r="K762" s="1707"/>
      <c r="L762" s="1704"/>
      <c r="M762" s="1704"/>
    </row>
    <row r="763" spans="5:13" ht="15">
      <c r="E763" s="1645"/>
      <c r="F763" s="1707"/>
      <c r="G763" s="1707"/>
      <c r="H763" s="1707"/>
      <c r="I763" s="1707"/>
      <c r="J763" s="1707"/>
      <c r="K763" s="1707"/>
      <c r="L763" s="1704"/>
      <c r="M763" s="1704"/>
    </row>
    <row r="764" spans="5:13" ht="15">
      <c r="E764" s="1645"/>
      <c r="F764" s="1707"/>
      <c r="G764" s="1707"/>
      <c r="H764" s="1707"/>
      <c r="I764" s="1707"/>
      <c r="J764" s="1707"/>
      <c r="K764" s="1707"/>
      <c r="L764" s="1704"/>
      <c r="M764" s="1704"/>
    </row>
    <row r="765" spans="5:13" ht="15">
      <c r="E765" s="1645"/>
      <c r="F765" s="1707"/>
      <c r="G765" s="1707"/>
      <c r="H765" s="1707"/>
      <c r="I765" s="1707"/>
      <c r="J765" s="1707"/>
      <c r="K765" s="1707"/>
      <c r="L765" s="1704"/>
      <c r="M765" s="1704"/>
    </row>
    <row r="766" spans="5:13" ht="15">
      <c r="E766" s="1645"/>
      <c r="F766" s="1707"/>
      <c r="G766" s="1707"/>
      <c r="H766" s="1707"/>
      <c r="I766" s="1707"/>
      <c r="J766" s="1707"/>
      <c r="K766" s="1707"/>
      <c r="L766" s="1704"/>
      <c r="M766" s="1704"/>
    </row>
    <row r="767" spans="5:13" ht="15">
      <c r="E767" s="1645"/>
      <c r="F767" s="1707"/>
      <c r="G767" s="1707"/>
      <c r="H767" s="1707"/>
      <c r="I767" s="1707"/>
      <c r="J767" s="1707"/>
      <c r="K767" s="1707"/>
      <c r="L767" s="1704"/>
      <c r="M767" s="1704"/>
    </row>
    <row r="768" spans="5:13" ht="15">
      <c r="E768" s="1645"/>
      <c r="F768" s="1707"/>
      <c r="G768" s="1707"/>
      <c r="H768" s="1707"/>
      <c r="I768" s="1707"/>
      <c r="J768" s="1707"/>
      <c r="K768" s="1707"/>
      <c r="L768" s="1704"/>
      <c r="M768" s="1704"/>
    </row>
    <row r="769" spans="5:13" ht="15">
      <c r="E769" s="1645"/>
      <c r="F769" s="1707"/>
      <c r="G769" s="1707"/>
      <c r="H769" s="1707"/>
      <c r="I769" s="1707"/>
      <c r="J769" s="1707"/>
      <c r="K769" s="1707"/>
      <c r="L769" s="1704"/>
      <c r="M769" s="1704"/>
    </row>
    <row r="770" spans="5:13" ht="15">
      <c r="E770" s="1645"/>
      <c r="F770" s="1707"/>
      <c r="G770" s="1707"/>
      <c r="H770" s="1707"/>
      <c r="I770" s="1707"/>
      <c r="J770" s="1707"/>
      <c r="K770" s="1707"/>
      <c r="L770" s="1704"/>
      <c r="M770" s="1704"/>
    </row>
    <row r="771" spans="5:13" ht="15">
      <c r="E771" s="1645"/>
      <c r="F771" s="1707"/>
      <c r="G771" s="1707"/>
      <c r="H771" s="1707"/>
      <c r="I771" s="1707"/>
      <c r="J771" s="1707"/>
      <c r="K771" s="1707"/>
      <c r="L771" s="1704"/>
      <c r="M771" s="1704"/>
    </row>
    <row r="772" spans="5:13" ht="15">
      <c r="E772" s="1645"/>
      <c r="F772" s="1707"/>
      <c r="G772" s="1707"/>
      <c r="H772" s="1707"/>
      <c r="I772" s="1707"/>
      <c r="J772" s="1707"/>
      <c r="K772" s="1707"/>
      <c r="L772" s="1704"/>
      <c r="M772" s="1704"/>
    </row>
    <row r="773" spans="5:13" ht="15">
      <c r="E773" s="1645"/>
      <c r="F773" s="1707"/>
      <c r="G773" s="1707"/>
      <c r="H773" s="1707"/>
      <c r="I773" s="1707"/>
      <c r="J773" s="1707"/>
      <c r="K773" s="1707"/>
      <c r="L773" s="1704"/>
      <c r="M773" s="1704"/>
    </row>
    <row r="774" spans="5:13" ht="15">
      <c r="E774" s="1645"/>
      <c r="F774" s="1707"/>
      <c r="G774" s="1707"/>
      <c r="H774" s="1707"/>
      <c r="I774" s="1707"/>
      <c r="J774" s="1707"/>
      <c r="K774" s="1707"/>
      <c r="L774" s="1704"/>
      <c r="M774" s="1704"/>
    </row>
    <row r="775" spans="5:13" ht="15">
      <c r="E775" s="1645"/>
      <c r="F775" s="1707"/>
      <c r="G775" s="1707"/>
      <c r="H775" s="1707"/>
      <c r="I775" s="1707"/>
      <c r="J775" s="1707"/>
      <c r="K775" s="1707"/>
      <c r="L775" s="1704"/>
      <c r="M775" s="1704"/>
    </row>
    <row r="776" spans="5:13" ht="15">
      <c r="E776" s="1645"/>
      <c r="F776" s="1707"/>
      <c r="G776" s="1707"/>
      <c r="H776" s="1707"/>
      <c r="I776" s="1707"/>
      <c r="J776" s="1707"/>
      <c r="K776" s="1707"/>
      <c r="L776" s="1704"/>
      <c r="M776" s="1704"/>
    </row>
    <row r="777" spans="5:13" ht="15">
      <c r="E777" s="1645"/>
      <c r="F777" s="1707"/>
      <c r="G777" s="1707"/>
      <c r="H777" s="1707"/>
      <c r="I777" s="1707"/>
      <c r="J777" s="1707"/>
      <c r="K777" s="1707"/>
      <c r="L777" s="1704"/>
      <c r="M777" s="1704"/>
    </row>
    <row r="778" spans="5:13" ht="15">
      <c r="E778" s="1645"/>
      <c r="F778" s="1707"/>
      <c r="G778" s="1707"/>
      <c r="H778" s="1707"/>
      <c r="I778" s="1707"/>
      <c r="J778" s="1707"/>
      <c r="K778" s="1707"/>
      <c r="L778" s="1704"/>
      <c r="M778" s="1704"/>
    </row>
    <row r="779" spans="5:13" ht="15">
      <c r="E779" s="1645"/>
      <c r="F779" s="1707"/>
      <c r="G779" s="1707"/>
      <c r="H779" s="1707"/>
      <c r="I779" s="1707"/>
      <c r="J779" s="1707"/>
      <c r="K779" s="1707"/>
      <c r="L779" s="1704"/>
      <c r="M779" s="1704"/>
    </row>
    <row r="780" spans="5:13" ht="15">
      <c r="E780" s="1645"/>
      <c r="F780" s="1707"/>
      <c r="G780" s="1707"/>
      <c r="H780" s="1707"/>
      <c r="I780" s="1707"/>
      <c r="J780" s="1707"/>
      <c r="K780" s="1707"/>
      <c r="L780" s="1704"/>
      <c r="M780" s="1704"/>
    </row>
    <row r="781" spans="5:13" ht="15">
      <c r="E781" s="1645"/>
      <c r="F781" s="1707"/>
      <c r="G781" s="1707"/>
      <c r="H781" s="1707"/>
      <c r="I781" s="1707"/>
      <c r="J781" s="1707"/>
      <c r="K781" s="1707"/>
      <c r="L781" s="1704"/>
      <c r="M781" s="1704"/>
    </row>
    <row r="782" spans="5:13" ht="15">
      <c r="E782" s="1645"/>
      <c r="F782" s="1707"/>
      <c r="G782" s="1707"/>
      <c r="H782" s="1707"/>
      <c r="I782" s="1707"/>
      <c r="J782" s="1707"/>
      <c r="K782" s="1707"/>
      <c r="L782" s="1704"/>
      <c r="M782" s="1704"/>
    </row>
    <row r="783" spans="5:13" ht="15">
      <c r="E783" s="1645"/>
      <c r="F783" s="1707"/>
      <c r="G783" s="1707"/>
      <c r="H783" s="1707"/>
      <c r="I783" s="1707"/>
      <c r="J783" s="1707"/>
      <c r="K783" s="1707"/>
      <c r="L783" s="1704"/>
      <c r="M783" s="1704"/>
    </row>
    <row r="784" spans="5:13" ht="15">
      <c r="E784" s="1645"/>
      <c r="F784" s="1707"/>
      <c r="G784" s="1707"/>
      <c r="H784" s="1707"/>
      <c r="I784" s="1707"/>
      <c r="J784" s="1707"/>
      <c r="K784" s="1707"/>
      <c r="L784" s="1704"/>
      <c r="M784" s="1704"/>
    </row>
    <row r="785" spans="5:13" ht="15">
      <c r="E785" s="1645"/>
      <c r="F785" s="1707"/>
      <c r="G785" s="1707"/>
      <c r="H785" s="1707"/>
      <c r="I785" s="1707"/>
      <c r="J785" s="1707"/>
      <c r="K785" s="1707"/>
      <c r="L785" s="1704"/>
      <c r="M785" s="1704"/>
    </row>
    <row r="786" spans="5:13" ht="15">
      <c r="E786" s="1645"/>
      <c r="F786" s="1707"/>
      <c r="G786" s="1707"/>
      <c r="H786" s="1707"/>
      <c r="I786" s="1707"/>
      <c r="J786" s="1707"/>
      <c r="K786" s="1707"/>
      <c r="L786" s="1704"/>
      <c r="M786" s="1704"/>
    </row>
    <row r="787" spans="5:13" ht="15">
      <c r="E787" s="1645"/>
      <c r="F787" s="1707"/>
      <c r="G787" s="1707"/>
      <c r="H787" s="1707"/>
      <c r="I787" s="1707"/>
      <c r="J787" s="1707"/>
      <c r="K787" s="1707"/>
      <c r="L787" s="1704"/>
      <c r="M787" s="1704"/>
    </row>
    <row r="788" spans="5:13" ht="15">
      <c r="E788" s="1645"/>
      <c r="F788" s="1707"/>
      <c r="G788" s="1707"/>
      <c r="H788" s="1707"/>
      <c r="I788" s="1707"/>
      <c r="J788" s="1707"/>
      <c r="K788" s="1707"/>
      <c r="L788" s="1704"/>
      <c r="M788" s="1704"/>
    </row>
    <row r="789" spans="5:13" ht="15">
      <c r="E789" s="1645"/>
      <c r="F789" s="1707"/>
      <c r="G789" s="1707"/>
      <c r="H789" s="1707"/>
      <c r="I789" s="1707"/>
      <c r="J789" s="1707"/>
      <c r="K789" s="1707"/>
      <c r="L789" s="1704"/>
      <c r="M789" s="1704"/>
    </row>
    <row r="790" spans="5:13" ht="15">
      <c r="E790" s="1645"/>
      <c r="F790" s="1707"/>
      <c r="G790" s="1707"/>
      <c r="H790" s="1707"/>
      <c r="I790" s="1707"/>
      <c r="J790" s="1707"/>
      <c r="K790" s="1707"/>
      <c r="L790" s="1704"/>
      <c r="M790" s="1704"/>
    </row>
    <row r="791" spans="5:13" ht="15">
      <c r="E791" s="1645"/>
      <c r="F791" s="1707"/>
      <c r="G791" s="1707"/>
      <c r="H791" s="1707"/>
      <c r="I791" s="1707"/>
      <c r="J791" s="1707"/>
      <c r="K791" s="1707"/>
      <c r="L791" s="1704"/>
      <c r="M791" s="1704"/>
    </row>
    <row r="792" spans="5:13" ht="15">
      <c r="E792" s="1645"/>
      <c r="F792" s="1707"/>
      <c r="G792" s="1707"/>
      <c r="H792" s="1707"/>
      <c r="I792" s="1707"/>
      <c r="J792" s="1707"/>
      <c r="K792" s="1707"/>
      <c r="L792" s="1704"/>
      <c r="M792" s="1704"/>
    </row>
    <row r="793" spans="5:13" ht="15">
      <c r="E793" s="1645"/>
      <c r="F793" s="1707"/>
      <c r="G793" s="1707"/>
      <c r="H793" s="1707"/>
      <c r="I793" s="1707"/>
      <c r="J793" s="1707"/>
      <c r="K793" s="1707"/>
      <c r="L793" s="1704"/>
      <c r="M793" s="1704"/>
    </row>
    <row r="794" spans="5:13" ht="15">
      <c r="E794" s="1645"/>
      <c r="F794" s="1707"/>
      <c r="G794" s="1707"/>
      <c r="H794" s="1707"/>
      <c r="I794" s="1707"/>
      <c r="J794" s="1707"/>
      <c r="K794" s="1707"/>
      <c r="L794" s="1704"/>
      <c r="M794" s="1704"/>
    </row>
    <row r="795" spans="5:13" ht="15">
      <c r="E795" s="1645"/>
      <c r="F795" s="1707"/>
      <c r="G795" s="1707"/>
      <c r="H795" s="1707"/>
      <c r="I795" s="1707"/>
      <c r="J795" s="1707"/>
      <c r="K795" s="1707"/>
      <c r="L795" s="1704"/>
      <c r="M795" s="1704"/>
    </row>
    <row r="796" spans="5:13" ht="15">
      <c r="E796" s="1645"/>
      <c r="F796" s="1707"/>
      <c r="G796" s="1707"/>
      <c r="H796" s="1707"/>
      <c r="I796" s="1707"/>
      <c r="J796" s="1707"/>
      <c r="K796" s="1707"/>
      <c r="L796" s="1704"/>
      <c r="M796" s="1704"/>
    </row>
    <row r="797" spans="5:13" ht="15">
      <c r="E797" s="1645"/>
      <c r="F797" s="1707"/>
      <c r="G797" s="1707"/>
      <c r="H797" s="1707"/>
      <c r="I797" s="1707"/>
      <c r="J797" s="1707"/>
      <c r="K797" s="1707"/>
      <c r="L797" s="1704"/>
      <c r="M797" s="1704"/>
    </row>
    <row r="798" spans="5:13" ht="15">
      <c r="E798" s="1645"/>
      <c r="F798" s="1707"/>
      <c r="G798" s="1707"/>
      <c r="H798" s="1707"/>
      <c r="I798" s="1707"/>
      <c r="J798" s="1707"/>
      <c r="K798" s="1707"/>
      <c r="L798" s="1704"/>
      <c r="M798" s="1704"/>
    </row>
    <row r="799" spans="5:13" ht="15">
      <c r="E799" s="1645"/>
      <c r="F799" s="1707"/>
      <c r="G799" s="1707"/>
      <c r="H799" s="1707"/>
      <c r="I799" s="1707"/>
      <c r="J799" s="1707"/>
      <c r="K799" s="1707"/>
      <c r="L799" s="1704"/>
      <c r="M799" s="1704"/>
    </row>
    <row r="800" spans="5:13" ht="15">
      <c r="E800" s="1645"/>
      <c r="F800" s="1707"/>
      <c r="G800" s="1707"/>
      <c r="H800" s="1707"/>
      <c r="I800" s="1707"/>
      <c r="J800" s="1707"/>
      <c r="K800" s="1707"/>
      <c r="L800" s="1704"/>
      <c r="M800" s="1704"/>
    </row>
    <row r="801" spans="5:13" ht="15">
      <c r="E801" s="1645"/>
      <c r="F801" s="1707"/>
      <c r="G801" s="1707"/>
      <c r="H801" s="1707"/>
      <c r="I801" s="1707"/>
      <c r="J801" s="1707"/>
      <c r="K801" s="1707"/>
      <c r="L801" s="1704"/>
      <c r="M801" s="1704"/>
    </row>
    <row r="802" spans="5:13" ht="15">
      <c r="E802" s="1645"/>
      <c r="F802" s="1707"/>
      <c r="G802" s="1707"/>
      <c r="H802" s="1707"/>
      <c r="I802" s="1707"/>
      <c r="J802" s="1707"/>
      <c r="K802" s="1707"/>
      <c r="L802" s="1704"/>
      <c r="M802" s="1704"/>
    </row>
    <row r="803" spans="5:13" ht="15">
      <c r="E803" s="1645"/>
      <c r="F803" s="1707"/>
      <c r="G803" s="1707"/>
      <c r="H803" s="1707"/>
      <c r="I803" s="1707"/>
      <c r="J803" s="1707"/>
      <c r="K803" s="1707"/>
      <c r="L803" s="1704"/>
      <c r="M803" s="1704"/>
    </row>
    <row r="804" spans="5:13" ht="15">
      <c r="E804" s="1645"/>
      <c r="F804" s="1707"/>
      <c r="G804" s="1707"/>
      <c r="H804" s="1707"/>
      <c r="I804" s="1707"/>
      <c r="J804" s="1707"/>
      <c r="K804" s="1707"/>
      <c r="L804" s="1704"/>
      <c r="M804" s="1704"/>
    </row>
    <row r="805" spans="5:13" ht="15">
      <c r="E805" s="1645"/>
      <c r="F805" s="1707"/>
      <c r="G805" s="1707"/>
      <c r="H805" s="1707"/>
      <c r="I805" s="1707"/>
      <c r="J805" s="1707"/>
      <c r="K805" s="1707"/>
      <c r="L805" s="1704"/>
      <c r="M805" s="1704"/>
    </row>
    <row r="806" spans="5:13" ht="15">
      <c r="E806" s="1645"/>
      <c r="F806" s="1707"/>
      <c r="G806" s="1707"/>
      <c r="H806" s="1707"/>
      <c r="I806" s="1707"/>
      <c r="J806" s="1707"/>
      <c r="K806" s="1707"/>
      <c r="L806" s="1704"/>
      <c r="M806" s="1704"/>
    </row>
    <row r="807" spans="5:13" ht="15">
      <c r="E807" s="1645"/>
      <c r="F807" s="1707"/>
      <c r="G807" s="1707"/>
      <c r="H807" s="1707"/>
      <c r="I807" s="1707"/>
      <c r="J807" s="1707"/>
      <c r="K807" s="1707"/>
      <c r="L807" s="1704"/>
      <c r="M807" s="1704"/>
    </row>
    <row r="808" spans="5:13" ht="15">
      <c r="E808" s="1645"/>
      <c r="F808" s="1707"/>
      <c r="G808" s="1707"/>
      <c r="H808" s="1707"/>
      <c r="I808" s="1707"/>
      <c r="J808" s="1707"/>
      <c r="K808" s="1707"/>
      <c r="L808" s="1704"/>
      <c r="M808" s="1704"/>
    </row>
    <row r="809" spans="5:13" ht="15">
      <c r="E809" s="1645"/>
      <c r="F809" s="1707"/>
      <c r="G809" s="1707"/>
      <c r="H809" s="1707"/>
      <c r="I809" s="1707"/>
      <c r="J809" s="1707"/>
      <c r="K809" s="1707"/>
      <c r="L809" s="1704"/>
      <c r="M809" s="1704"/>
    </row>
    <row r="810" spans="5:13" ht="15">
      <c r="E810" s="1645"/>
      <c r="F810" s="1707"/>
      <c r="G810" s="1707"/>
      <c r="H810" s="1707"/>
      <c r="I810" s="1707"/>
      <c r="J810" s="1707"/>
      <c r="K810" s="1707"/>
      <c r="L810" s="1704"/>
      <c r="M810" s="1704"/>
    </row>
    <row r="811" spans="5:13" ht="15">
      <c r="E811" s="1645"/>
      <c r="F811" s="1707"/>
      <c r="G811" s="1707"/>
      <c r="H811" s="1707"/>
      <c r="I811" s="1707"/>
      <c r="J811" s="1707"/>
      <c r="K811" s="1707"/>
      <c r="L811" s="1704"/>
      <c r="M811" s="1704"/>
    </row>
    <row r="812" spans="5:13" ht="15">
      <c r="E812" s="1645"/>
      <c r="F812" s="1707"/>
      <c r="G812" s="1707"/>
      <c r="H812" s="1707"/>
      <c r="I812" s="1707"/>
      <c r="J812" s="1707"/>
      <c r="K812" s="1707"/>
      <c r="L812" s="1704"/>
      <c r="M812" s="1704"/>
    </row>
    <row r="813" spans="5:13" ht="15">
      <c r="E813" s="1645"/>
      <c r="F813" s="1707"/>
      <c r="G813" s="1707"/>
      <c r="H813" s="1707"/>
      <c r="I813" s="1707"/>
      <c r="J813" s="1707"/>
      <c r="K813" s="1707"/>
      <c r="L813" s="1704"/>
      <c r="M813" s="1704"/>
    </row>
    <row r="814" spans="5:13" ht="15">
      <c r="E814" s="1645"/>
      <c r="F814" s="1707"/>
      <c r="G814" s="1707"/>
      <c r="H814" s="1707"/>
      <c r="I814" s="1707"/>
      <c r="J814" s="1707"/>
      <c r="K814" s="1707"/>
      <c r="L814" s="1704"/>
      <c r="M814" s="1704"/>
    </row>
    <row r="815" spans="5:13" ht="15">
      <c r="E815" s="1645"/>
      <c r="F815" s="1707"/>
      <c r="G815" s="1707"/>
      <c r="H815" s="1707"/>
      <c r="I815" s="1707"/>
      <c r="J815" s="1707"/>
      <c r="K815" s="1707"/>
      <c r="L815" s="1704"/>
      <c r="M815" s="1704"/>
    </row>
    <row r="816" spans="5:13" ht="15">
      <c r="E816" s="1645"/>
      <c r="F816" s="1707"/>
      <c r="G816" s="1707"/>
      <c r="H816" s="1707"/>
      <c r="I816" s="1707"/>
      <c r="J816" s="1707"/>
      <c r="K816" s="1707"/>
      <c r="L816" s="1704"/>
      <c r="M816" s="1704"/>
    </row>
    <row r="817" spans="5:13" ht="15">
      <c r="E817" s="1645"/>
      <c r="F817" s="1707"/>
      <c r="G817" s="1707"/>
      <c r="H817" s="1707"/>
      <c r="I817" s="1707"/>
      <c r="J817" s="1707"/>
      <c r="K817" s="1707"/>
      <c r="L817" s="1704"/>
      <c r="M817" s="1704"/>
    </row>
    <row r="818" spans="5:13" ht="15">
      <c r="E818" s="1645"/>
      <c r="F818" s="1707"/>
      <c r="G818" s="1707"/>
      <c r="H818" s="1707"/>
      <c r="I818" s="1707"/>
      <c r="J818" s="1707"/>
      <c r="K818" s="1707"/>
      <c r="L818" s="1704"/>
      <c r="M818" s="1704"/>
    </row>
    <row r="819" spans="5:13" ht="15">
      <c r="E819" s="1645"/>
      <c r="F819" s="1707"/>
      <c r="G819" s="1707"/>
      <c r="H819" s="1707"/>
      <c r="I819" s="1707"/>
      <c r="J819" s="1707"/>
      <c r="K819" s="1707"/>
      <c r="L819" s="1704"/>
      <c r="M819" s="1704"/>
    </row>
    <row r="820" spans="5:13" ht="15">
      <c r="E820" s="1645"/>
      <c r="F820" s="1707"/>
      <c r="G820" s="1707"/>
      <c r="H820" s="1707"/>
      <c r="I820" s="1707"/>
      <c r="J820" s="1707"/>
      <c r="K820" s="1707"/>
      <c r="L820" s="1704"/>
      <c r="M820" s="1704"/>
    </row>
    <row r="821" spans="5:13" ht="15">
      <c r="E821" s="1645"/>
      <c r="F821" s="1707"/>
      <c r="G821" s="1707"/>
      <c r="H821" s="1707"/>
      <c r="I821" s="1707"/>
      <c r="J821" s="1707"/>
      <c r="K821" s="1707"/>
      <c r="L821" s="1704"/>
      <c r="M821" s="1704"/>
    </row>
    <row r="822" spans="5:13" ht="15">
      <c r="E822" s="1645"/>
      <c r="F822" s="1707"/>
      <c r="G822" s="1707"/>
      <c r="H822" s="1707"/>
      <c r="I822" s="1707"/>
      <c r="J822" s="1707"/>
      <c r="K822" s="1707"/>
      <c r="L822" s="1704"/>
      <c r="M822" s="1704"/>
    </row>
    <row r="823" spans="5:13" ht="15">
      <c r="E823" s="1645"/>
      <c r="F823" s="1707"/>
      <c r="G823" s="1707"/>
      <c r="H823" s="1707"/>
      <c r="I823" s="1707"/>
      <c r="J823" s="1707"/>
      <c r="K823" s="1707"/>
      <c r="L823" s="1704"/>
      <c r="M823" s="1704"/>
    </row>
    <row r="824" spans="5:13" ht="15">
      <c r="E824" s="1645"/>
      <c r="F824" s="1707"/>
      <c r="G824" s="1707"/>
      <c r="H824" s="1707"/>
      <c r="I824" s="1707"/>
      <c r="J824" s="1707"/>
      <c r="K824" s="1707"/>
      <c r="L824" s="1704"/>
      <c r="M824" s="1704"/>
    </row>
    <row r="825" spans="5:13" ht="15">
      <c r="E825" s="1645"/>
      <c r="F825" s="1707"/>
      <c r="G825" s="1707"/>
      <c r="H825" s="1707"/>
      <c r="I825" s="1707"/>
      <c r="J825" s="1707"/>
      <c r="K825" s="1707"/>
      <c r="L825" s="1704"/>
      <c r="M825" s="1704"/>
    </row>
    <row r="826" spans="5:13" ht="15">
      <c r="E826" s="1645"/>
      <c r="F826" s="1707"/>
      <c r="G826" s="1707"/>
      <c r="H826" s="1707"/>
      <c r="I826" s="1707"/>
      <c r="J826" s="1707"/>
      <c r="K826" s="1707"/>
      <c r="L826" s="1704"/>
      <c r="M826" s="1704"/>
    </row>
    <row r="827" spans="5:13" ht="15">
      <c r="E827" s="1645"/>
      <c r="F827" s="1707"/>
      <c r="G827" s="1707"/>
      <c r="H827" s="1707"/>
      <c r="I827" s="1707"/>
      <c r="J827" s="1707"/>
      <c r="K827" s="1707"/>
      <c r="L827" s="1704"/>
      <c r="M827" s="1704"/>
    </row>
    <row r="828" spans="5:13" ht="15">
      <c r="E828" s="1645"/>
      <c r="F828" s="1707"/>
      <c r="G828" s="1707"/>
      <c r="H828" s="1707"/>
      <c r="I828" s="1707"/>
      <c r="J828" s="1707"/>
      <c r="K828" s="1707"/>
      <c r="L828" s="1704"/>
      <c r="M828" s="1704"/>
    </row>
    <row r="829" spans="5:13" ht="15">
      <c r="E829" s="1645"/>
      <c r="F829" s="1707"/>
      <c r="G829" s="1707"/>
      <c r="H829" s="1707"/>
      <c r="I829" s="1707"/>
      <c r="J829" s="1707"/>
      <c r="K829" s="1707"/>
      <c r="L829" s="1704"/>
      <c r="M829" s="1704"/>
    </row>
    <row r="830" spans="5:13" ht="15">
      <c r="E830" s="1645"/>
      <c r="F830" s="1707"/>
      <c r="G830" s="1707"/>
      <c r="H830" s="1707"/>
      <c r="I830" s="1707"/>
      <c r="J830" s="1707"/>
      <c r="K830" s="1707"/>
      <c r="L830" s="1704"/>
      <c r="M830" s="1704"/>
    </row>
    <row r="831" spans="5:13" ht="15">
      <c r="E831" s="1645"/>
      <c r="F831" s="1707"/>
      <c r="G831" s="1707"/>
      <c r="H831" s="1707"/>
      <c r="I831" s="1707"/>
      <c r="J831" s="1707"/>
      <c r="K831" s="1707"/>
      <c r="L831" s="1704"/>
      <c r="M831" s="1704"/>
    </row>
    <row r="832" spans="5:13" ht="15">
      <c r="E832" s="1645"/>
      <c r="F832" s="1707"/>
      <c r="G832" s="1707"/>
      <c r="H832" s="1707"/>
      <c r="I832" s="1707"/>
      <c r="J832" s="1707"/>
      <c r="K832" s="1707"/>
      <c r="L832" s="1704"/>
      <c r="M832" s="1704"/>
    </row>
    <row r="833" spans="5:13" ht="15">
      <c r="E833" s="1645"/>
      <c r="F833" s="1707"/>
      <c r="G833" s="1707"/>
      <c r="H833" s="1707"/>
      <c r="I833" s="1707"/>
      <c r="J833" s="1707"/>
      <c r="K833" s="1707"/>
      <c r="L833" s="1704"/>
      <c r="M833" s="1704"/>
    </row>
    <row r="834" spans="5:13" ht="15">
      <c r="E834" s="1645"/>
      <c r="F834" s="1707"/>
      <c r="G834" s="1707"/>
      <c r="H834" s="1707"/>
      <c r="I834" s="1707"/>
      <c r="J834" s="1707"/>
      <c r="K834" s="1707"/>
      <c r="L834" s="1704"/>
      <c r="M834" s="1704"/>
    </row>
    <row r="835" spans="5:13" ht="15">
      <c r="E835" s="1645"/>
      <c r="F835" s="1707"/>
      <c r="G835" s="1707"/>
      <c r="H835" s="1707"/>
      <c r="I835" s="1707"/>
      <c r="J835" s="1707"/>
      <c r="K835" s="1707"/>
      <c r="L835" s="1704"/>
      <c r="M835" s="1704"/>
    </row>
    <row r="836" spans="5:13" ht="15">
      <c r="E836" s="1645"/>
      <c r="F836" s="1707"/>
      <c r="G836" s="1707"/>
      <c r="H836" s="1707"/>
      <c r="I836" s="1707"/>
      <c r="J836" s="1707"/>
      <c r="K836" s="1707"/>
      <c r="L836" s="1704"/>
      <c r="M836" s="1704"/>
    </row>
    <row r="837" spans="5:13" ht="15">
      <c r="E837" s="1645"/>
      <c r="F837" s="1707"/>
      <c r="G837" s="1707"/>
      <c r="H837" s="1707"/>
      <c r="I837" s="1707"/>
      <c r="J837" s="1707"/>
      <c r="K837" s="1707"/>
      <c r="L837" s="1704"/>
      <c r="M837" s="1704"/>
    </row>
    <row r="838" spans="5:13" ht="15">
      <c r="E838" s="1645"/>
      <c r="F838" s="1707"/>
      <c r="G838" s="1707"/>
      <c r="H838" s="1707"/>
      <c r="I838" s="1707"/>
      <c r="J838" s="1707"/>
      <c r="K838" s="1707"/>
      <c r="L838" s="1704"/>
      <c r="M838" s="1704"/>
    </row>
    <row r="839" spans="5:13" ht="15">
      <c r="E839" s="1645"/>
      <c r="F839" s="1707"/>
      <c r="G839" s="1707"/>
      <c r="H839" s="1707"/>
      <c r="I839" s="1707"/>
      <c r="J839" s="1707"/>
      <c r="K839" s="1707"/>
      <c r="L839" s="1704"/>
      <c r="M839" s="1704"/>
    </row>
    <row r="840" spans="5:13" ht="15">
      <c r="E840" s="1645"/>
      <c r="F840" s="1707"/>
      <c r="G840" s="1707"/>
      <c r="H840" s="1707"/>
      <c r="I840" s="1707"/>
      <c r="J840" s="1707"/>
      <c r="K840" s="1707"/>
      <c r="L840" s="1704"/>
      <c r="M840" s="1704"/>
    </row>
    <row r="841" spans="5:13" ht="15">
      <c r="E841" s="1645"/>
      <c r="F841" s="1707"/>
      <c r="G841" s="1707"/>
      <c r="H841" s="1707"/>
      <c r="I841" s="1707"/>
      <c r="J841" s="1707"/>
      <c r="K841" s="1707"/>
      <c r="L841" s="1704"/>
      <c r="M841" s="1704"/>
    </row>
    <row r="842" spans="5:13" ht="15">
      <c r="E842" s="1645"/>
      <c r="F842" s="1707"/>
      <c r="G842" s="1707"/>
      <c r="H842" s="1707"/>
      <c r="I842" s="1707"/>
      <c r="J842" s="1707"/>
      <c r="K842" s="1707"/>
      <c r="L842" s="1704"/>
      <c r="M842" s="1704"/>
    </row>
    <row r="843" spans="5:13" ht="15">
      <c r="E843" s="1645"/>
      <c r="F843" s="1707"/>
      <c r="G843" s="1707"/>
      <c r="H843" s="1707"/>
      <c r="I843" s="1707"/>
      <c r="J843" s="1707"/>
      <c r="K843" s="1707"/>
      <c r="L843" s="1704"/>
      <c r="M843" s="1704"/>
    </row>
    <row r="844" spans="5:13" ht="15">
      <c r="E844" s="1645"/>
      <c r="F844" s="1707"/>
      <c r="G844" s="1707"/>
      <c r="H844" s="1707"/>
      <c r="I844" s="1707"/>
      <c r="J844" s="1707"/>
      <c r="K844" s="1707"/>
      <c r="L844" s="1704"/>
      <c r="M844" s="1704"/>
    </row>
    <row r="845" spans="5:13" ht="15">
      <c r="E845" s="1645"/>
      <c r="F845" s="1707"/>
      <c r="G845" s="1707"/>
      <c r="H845" s="1707"/>
      <c r="I845" s="1707"/>
      <c r="J845" s="1707"/>
      <c r="K845" s="1707"/>
      <c r="L845" s="1704"/>
      <c r="M845" s="1704"/>
    </row>
    <row r="846" spans="5:13" ht="15">
      <c r="E846" s="1645"/>
      <c r="F846" s="1707"/>
      <c r="G846" s="1707"/>
      <c r="H846" s="1707"/>
      <c r="I846" s="1707"/>
      <c r="J846" s="1707"/>
      <c r="K846" s="1707"/>
      <c r="L846" s="1704"/>
      <c r="M846" s="1704"/>
    </row>
    <row r="847" spans="5:13" ht="15">
      <c r="E847" s="1645"/>
      <c r="F847" s="1707"/>
      <c r="G847" s="1707"/>
      <c r="H847" s="1707"/>
      <c r="I847" s="1707"/>
      <c r="J847" s="1707"/>
      <c r="K847" s="1707"/>
      <c r="L847" s="1704"/>
      <c r="M847" s="1704"/>
    </row>
    <row r="848" spans="5:13" ht="15">
      <c r="E848" s="1645"/>
      <c r="F848" s="1707"/>
      <c r="G848" s="1707"/>
      <c r="H848" s="1707"/>
      <c r="I848" s="1707"/>
      <c r="J848" s="1707"/>
      <c r="K848" s="1707"/>
      <c r="L848" s="1704"/>
      <c r="M848" s="1704"/>
    </row>
    <row r="849" spans="5:13" ht="15">
      <c r="E849" s="1645"/>
      <c r="F849" s="1707"/>
      <c r="G849" s="1707"/>
      <c r="H849" s="1707"/>
      <c r="I849" s="1707"/>
      <c r="J849" s="1707"/>
      <c r="K849" s="1707"/>
      <c r="L849" s="1704"/>
      <c r="M849" s="1704"/>
    </row>
    <row r="850" spans="5:13" ht="15">
      <c r="E850" s="1645"/>
      <c r="F850" s="1707"/>
      <c r="G850" s="1707"/>
      <c r="H850" s="1707"/>
      <c r="I850" s="1707"/>
      <c r="J850" s="1707"/>
      <c r="K850" s="1707"/>
      <c r="L850" s="1704"/>
      <c r="M850" s="1704"/>
    </row>
    <row r="851" spans="5:13" ht="15">
      <c r="E851" s="1645"/>
      <c r="F851" s="1707"/>
      <c r="G851" s="1707"/>
      <c r="H851" s="1707"/>
      <c r="I851" s="1707"/>
      <c r="J851" s="1707"/>
      <c r="K851" s="1707"/>
      <c r="L851" s="1704"/>
      <c r="M851" s="1704"/>
    </row>
    <row r="852" spans="5:13" ht="15">
      <c r="E852" s="1645"/>
      <c r="F852" s="1707"/>
      <c r="G852" s="1707"/>
      <c r="H852" s="1707"/>
      <c r="I852" s="1707"/>
      <c r="J852" s="1707"/>
      <c r="K852" s="1707"/>
      <c r="L852" s="1704"/>
      <c r="M852" s="1704"/>
    </row>
    <row r="853" spans="5:13" ht="15">
      <c r="E853" s="1645"/>
      <c r="F853" s="1707"/>
      <c r="G853" s="1707"/>
      <c r="H853" s="1707"/>
      <c r="I853" s="1707"/>
      <c r="J853" s="1707"/>
      <c r="K853" s="1707"/>
      <c r="L853" s="1704"/>
      <c r="M853" s="1704"/>
    </row>
    <row r="854" spans="5:13" ht="15">
      <c r="E854" s="1645"/>
      <c r="F854" s="1707"/>
      <c r="G854" s="1707"/>
      <c r="H854" s="1707"/>
      <c r="I854" s="1707"/>
      <c r="J854" s="1707"/>
      <c r="K854" s="1707"/>
      <c r="L854" s="1704"/>
      <c r="M854" s="1704"/>
    </row>
    <row r="855" spans="5:13" ht="15">
      <c r="E855" s="1645"/>
      <c r="F855" s="1707"/>
      <c r="G855" s="1707"/>
      <c r="H855" s="1707"/>
      <c r="I855" s="1707"/>
      <c r="J855" s="1707"/>
      <c r="K855" s="1707"/>
      <c r="L855" s="1704"/>
      <c r="M855" s="1704"/>
    </row>
    <row r="856" spans="5:13" ht="15">
      <c r="E856" s="1645"/>
      <c r="F856" s="1707"/>
      <c r="G856" s="1707"/>
      <c r="H856" s="1707"/>
      <c r="I856" s="1707"/>
      <c r="J856" s="1707"/>
      <c r="K856" s="1707"/>
      <c r="L856" s="1704"/>
      <c r="M856" s="1704"/>
    </row>
    <row r="857" spans="5:13" ht="15">
      <c r="E857" s="1645"/>
      <c r="F857" s="1707"/>
      <c r="G857" s="1707"/>
      <c r="H857" s="1707"/>
      <c r="I857" s="1707"/>
      <c r="J857" s="1707"/>
      <c r="K857" s="1707"/>
      <c r="L857" s="1704"/>
      <c r="M857" s="1704"/>
    </row>
    <row r="858" spans="5:13" ht="15">
      <c r="E858" s="1645"/>
      <c r="F858" s="1707"/>
      <c r="G858" s="1707"/>
      <c r="H858" s="1707"/>
      <c r="I858" s="1707"/>
      <c r="J858" s="1707"/>
      <c r="K858" s="1707"/>
      <c r="L858" s="1704"/>
      <c r="M858" s="1704"/>
    </row>
    <row r="859" spans="5:13" ht="15">
      <c r="E859" s="1645"/>
      <c r="F859" s="1707"/>
      <c r="G859" s="1707"/>
      <c r="H859" s="1707"/>
      <c r="I859" s="1707"/>
      <c r="J859" s="1707"/>
      <c r="K859" s="1707"/>
      <c r="L859" s="1704"/>
      <c r="M859" s="1704"/>
    </row>
    <row r="860" spans="5:13" ht="15">
      <c r="E860" s="1645"/>
      <c r="F860" s="1707"/>
      <c r="G860" s="1707"/>
      <c r="H860" s="1707"/>
      <c r="I860" s="1707"/>
      <c r="J860" s="1707"/>
      <c r="K860" s="1707"/>
      <c r="L860" s="1704"/>
      <c r="M860" s="1704"/>
    </row>
    <row r="861" spans="5:13" ht="15">
      <c r="E861" s="1645"/>
      <c r="F861" s="1707"/>
      <c r="G861" s="1707"/>
      <c r="H861" s="1707"/>
      <c r="I861" s="1707"/>
      <c r="J861" s="1707"/>
      <c r="K861" s="1707"/>
      <c r="L861" s="1704"/>
      <c r="M861" s="1704"/>
    </row>
    <row r="862" spans="5:13" ht="15">
      <c r="E862" s="1645"/>
      <c r="F862" s="1707"/>
      <c r="G862" s="1707"/>
      <c r="H862" s="1707"/>
      <c r="I862" s="1707"/>
      <c r="J862" s="1707"/>
      <c r="K862" s="1707"/>
      <c r="L862" s="1704"/>
      <c r="M862" s="1704"/>
    </row>
    <row r="863" spans="5:13" ht="15">
      <c r="E863" s="1645"/>
      <c r="F863" s="1707"/>
      <c r="G863" s="1707"/>
      <c r="H863" s="1707"/>
      <c r="I863" s="1707"/>
      <c r="J863" s="1707"/>
      <c r="K863" s="1707"/>
      <c r="L863" s="1704"/>
      <c r="M863" s="1704"/>
    </row>
    <row r="864" spans="5:13" ht="15">
      <c r="E864" s="1645"/>
      <c r="F864" s="1707"/>
      <c r="G864" s="1707"/>
      <c r="H864" s="1707"/>
      <c r="I864" s="1707"/>
      <c r="J864" s="1707"/>
      <c r="K864" s="1707"/>
      <c r="L864" s="1704"/>
      <c r="M864" s="1704"/>
    </row>
    <row r="865" spans="5:13" ht="15">
      <c r="E865" s="1645"/>
      <c r="F865" s="1707"/>
      <c r="G865" s="1707"/>
      <c r="H865" s="1707"/>
      <c r="I865" s="1707"/>
      <c r="J865" s="1707"/>
      <c r="K865" s="1707"/>
      <c r="L865" s="1704"/>
      <c r="M865" s="1704"/>
    </row>
    <row r="866" spans="5:13" ht="15">
      <c r="E866" s="1645"/>
      <c r="F866" s="1707"/>
      <c r="G866" s="1707"/>
      <c r="H866" s="1707"/>
      <c r="I866" s="1707"/>
      <c r="J866" s="1707"/>
      <c r="K866" s="1707"/>
      <c r="L866" s="1704"/>
      <c r="M866" s="1704"/>
    </row>
    <row r="867" spans="5:13" ht="15">
      <c r="E867" s="1645"/>
      <c r="F867" s="1707"/>
      <c r="G867" s="1707"/>
      <c r="H867" s="1707"/>
      <c r="I867" s="1707"/>
      <c r="J867" s="1707"/>
      <c r="K867" s="1707"/>
      <c r="L867" s="1704"/>
      <c r="M867" s="1704"/>
    </row>
    <row r="868" spans="5:13" ht="15">
      <c r="E868" s="1645"/>
      <c r="F868" s="1707"/>
      <c r="G868" s="1707"/>
      <c r="H868" s="1707"/>
      <c r="I868" s="1707"/>
      <c r="J868" s="1707"/>
      <c r="K868" s="1707"/>
      <c r="L868" s="1704"/>
      <c r="M868" s="1704"/>
    </row>
    <row r="869" spans="5:13" ht="15">
      <c r="E869" s="1645"/>
      <c r="F869" s="1707"/>
      <c r="G869" s="1707"/>
      <c r="H869" s="1707"/>
      <c r="I869" s="1707"/>
      <c r="J869" s="1707"/>
      <c r="K869" s="1707"/>
      <c r="L869" s="1704"/>
      <c r="M869" s="1704"/>
    </row>
    <row r="870" spans="5:13" ht="15">
      <c r="E870" s="1645"/>
      <c r="F870" s="1707"/>
      <c r="G870" s="1707"/>
      <c r="H870" s="1707"/>
      <c r="I870" s="1707"/>
      <c r="J870" s="1707"/>
      <c r="K870" s="1707"/>
      <c r="L870" s="1704"/>
      <c r="M870" s="1704"/>
    </row>
    <row r="871" spans="5:13" ht="15">
      <c r="E871" s="1645"/>
      <c r="F871" s="1707"/>
      <c r="G871" s="1707"/>
      <c r="H871" s="1707"/>
      <c r="I871" s="1707"/>
      <c r="J871" s="1707"/>
      <c r="K871" s="1707"/>
      <c r="L871" s="1704"/>
      <c r="M871" s="1704"/>
    </row>
    <row r="872" spans="5:13" ht="15">
      <c r="E872" s="1645"/>
      <c r="F872" s="1707"/>
      <c r="G872" s="1707"/>
      <c r="H872" s="1707"/>
      <c r="I872" s="1707"/>
      <c r="J872" s="1707"/>
      <c r="K872" s="1707"/>
      <c r="L872" s="1704"/>
      <c r="M872" s="1704"/>
    </row>
    <row r="873" spans="5:13" ht="15">
      <c r="E873" s="1645"/>
      <c r="F873" s="1707"/>
      <c r="G873" s="1707"/>
      <c r="H873" s="1707"/>
      <c r="I873" s="1707"/>
      <c r="J873" s="1707"/>
      <c r="K873" s="1707"/>
      <c r="L873" s="1704"/>
      <c r="M873" s="1704"/>
    </row>
    <row r="874" spans="5:13" ht="15">
      <c r="E874" s="1645"/>
      <c r="F874" s="1707"/>
      <c r="G874" s="1707"/>
      <c r="H874" s="1707"/>
      <c r="I874" s="1707"/>
      <c r="J874" s="1707"/>
      <c r="K874" s="1707"/>
      <c r="L874" s="1704"/>
      <c r="M874" s="1704"/>
    </row>
    <row r="875" spans="5:13" ht="15">
      <c r="E875" s="1645"/>
      <c r="F875" s="1707"/>
      <c r="G875" s="1707"/>
      <c r="H875" s="1707"/>
      <c r="I875" s="1707"/>
      <c r="J875" s="1707"/>
      <c r="K875" s="1707"/>
      <c r="L875" s="1704"/>
      <c r="M875" s="1704"/>
    </row>
    <row r="876" spans="5:13" ht="15">
      <c r="E876" s="1645"/>
      <c r="F876" s="1707"/>
      <c r="G876" s="1707"/>
      <c r="H876" s="1707"/>
      <c r="I876" s="1707"/>
      <c r="J876" s="1707"/>
      <c r="K876" s="1707"/>
      <c r="L876" s="1704"/>
      <c r="M876" s="1704"/>
    </row>
    <row r="877" spans="5:13" ht="15">
      <c r="E877" s="1645"/>
      <c r="F877" s="1707"/>
      <c r="G877" s="1707"/>
      <c r="H877" s="1707"/>
      <c r="I877" s="1707"/>
      <c r="J877" s="1707"/>
      <c r="K877" s="1707"/>
      <c r="L877" s="1704"/>
      <c r="M877" s="1704"/>
    </row>
    <row r="878" spans="5:13" ht="15">
      <c r="E878" s="1645"/>
      <c r="F878" s="1707"/>
      <c r="G878" s="1707"/>
      <c r="H878" s="1707"/>
      <c r="I878" s="1707"/>
      <c r="J878" s="1707"/>
      <c r="K878" s="1707"/>
      <c r="L878" s="1704"/>
      <c r="M878" s="1704"/>
    </row>
    <row r="879" spans="5:13" ht="15">
      <c r="E879" s="1645"/>
      <c r="F879" s="1707"/>
      <c r="G879" s="1707"/>
      <c r="H879" s="1707"/>
      <c r="I879" s="1707"/>
      <c r="J879" s="1707"/>
      <c r="K879" s="1707"/>
      <c r="L879" s="1704"/>
      <c r="M879" s="1704"/>
    </row>
    <row r="880" spans="5:13" ht="15">
      <c r="E880" s="1645"/>
      <c r="F880" s="1707"/>
      <c r="G880" s="1707"/>
      <c r="H880" s="1707"/>
      <c r="I880" s="1707"/>
      <c r="J880" s="1707"/>
      <c r="K880" s="1707"/>
      <c r="L880" s="1704"/>
      <c r="M880" s="1704"/>
    </row>
    <row r="881" spans="5:13" ht="15">
      <c r="E881" s="1645"/>
      <c r="F881" s="1707"/>
      <c r="G881" s="1707"/>
      <c r="H881" s="1707"/>
      <c r="I881" s="1707"/>
      <c r="J881" s="1707"/>
      <c r="K881" s="1707"/>
      <c r="L881" s="1704"/>
      <c r="M881" s="1704"/>
    </row>
    <row r="882" spans="5:13" ht="15">
      <c r="E882" s="1645"/>
      <c r="F882" s="1707"/>
      <c r="G882" s="1707"/>
      <c r="H882" s="1707"/>
      <c r="I882" s="1707"/>
      <c r="J882" s="1707"/>
      <c r="K882" s="1707"/>
      <c r="L882" s="1704"/>
      <c r="M882" s="1704"/>
    </row>
    <row r="883" spans="5:13" ht="15">
      <c r="E883" s="1645"/>
      <c r="F883" s="1707"/>
      <c r="G883" s="1707"/>
      <c r="H883" s="1707"/>
      <c r="I883" s="1707"/>
      <c r="J883" s="1707"/>
      <c r="K883" s="1707"/>
      <c r="L883" s="1704"/>
      <c r="M883" s="1704"/>
    </row>
    <row r="884" spans="5:13" ht="15">
      <c r="E884" s="1645"/>
      <c r="F884" s="1707"/>
      <c r="G884" s="1707"/>
      <c r="H884" s="1707"/>
      <c r="I884" s="1707"/>
      <c r="J884" s="1707"/>
      <c r="K884" s="1707"/>
      <c r="L884" s="1704"/>
      <c r="M884" s="1704"/>
    </row>
    <row r="885" spans="5:13" ht="15">
      <c r="E885" s="1645"/>
      <c r="F885" s="1707"/>
      <c r="G885" s="1707"/>
      <c r="H885" s="1707"/>
      <c r="I885" s="1707"/>
      <c r="J885" s="1707"/>
      <c r="K885" s="1707"/>
      <c r="L885" s="1704"/>
      <c r="M885" s="1704"/>
    </row>
    <row r="886" spans="5:13" ht="15">
      <c r="E886" s="1645"/>
      <c r="F886" s="1707"/>
      <c r="G886" s="1707"/>
      <c r="H886" s="1707"/>
      <c r="I886" s="1707"/>
      <c r="J886" s="1707"/>
      <c r="K886" s="1707"/>
      <c r="L886" s="1704"/>
      <c r="M886" s="1704"/>
    </row>
    <row r="887" spans="5:13" ht="15">
      <c r="E887" s="1645"/>
      <c r="F887" s="1707"/>
      <c r="G887" s="1707"/>
      <c r="H887" s="1707"/>
      <c r="I887" s="1707"/>
      <c r="J887" s="1707"/>
      <c r="K887" s="1707"/>
      <c r="L887" s="1704"/>
      <c r="M887" s="1704"/>
    </row>
    <row r="888" spans="5:13" ht="15">
      <c r="E888" s="1645"/>
      <c r="F888" s="1707"/>
      <c r="G888" s="1707"/>
      <c r="H888" s="1707"/>
      <c r="I888" s="1707"/>
      <c r="J888" s="1707"/>
      <c r="K888" s="1707"/>
      <c r="L888" s="1704"/>
      <c r="M888" s="1704"/>
    </row>
    <row r="889" spans="5:13" ht="15">
      <c r="E889" s="1645"/>
      <c r="F889" s="1707"/>
      <c r="G889" s="1707"/>
      <c r="H889" s="1707"/>
      <c r="I889" s="1707"/>
      <c r="J889" s="1707"/>
      <c r="K889" s="1707"/>
      <c r="L889" s="1704"/>
      <c r="M889" s="1704"/>
    </row>
    <row r="890" spans="5:13" ht="15">
      <c r="E890" s="1645"/>
      <c r="F890" s="1707"/>
      <c r="G890" s="1707"/>
      <c r="H890" s="1707"/>
      <c r="I890" s="1707"/>
      <c r="J890" s="1707"/>
      <c r="K890" s="1707"/>
      <c r="L890" s="1704"/>
      <c r="M890" s="1704"/>
    </row>
    <row r="891" spans="5:13" ht="15">
      <c r="E891" s="1645"/>
      <c r="F891" s="1707"/>
      <c r="G891" s="1707"/>
      <c r="H891" s="1707"/>
      <c r="I891" s="1707"/>
      <c r="J891" s="1707"/>
      <c r="K891" s="1707"/>
      <c r="L891" s="1704"/>
      <c r="M891" s="1704"/>
    </row>
    <row r="892" spans="5:13" ht="15">
      <c r="E892" s="1645"/>
      <c r="F892" s="1707"/>
      <c r="G892" s="1707"/>
      <c r="H892" s="1707"/>
      <c r="I892" s="1707"/>
      <c r="J892" s="1707"/>
      <c r="K892" s="1707"/>
      <c r="L892" s="1704"/>
      <c r="M892" s="1704"/>
    </row>
    <row r="893" spans="5:13" ht="15">
      <c r="E893" s="1645"/>
      <c r="F893" s="1707"/>
      <c r="G893" s="1707"/>
      <c r="H893" s="1707"/>
      <c r="I893" s="1707"/>
      <c r="J893" s="1707"/>
      <c r="K893" s="1707"/>
      <c r="L893" s="1704"/>
      <c r="M893" s="1704"/>
    </row>
    <row r="894" spans="5:13" ht="15">
      <c r="E894" s="1645"/>
      <c r="F894" s="1707"/>
      <c r="G894" s="1707"/>
      <c r="H894" s="1707"/>
      <c r="I894" s="1707"/>
      <c r="J894" s="1707"/>
      <c r="K894" s="1707"/>
      <c r="L894" s="1704"/>
      <c r="M894" s="1704"/>
    </row>
    <row r="895" spans="5:13" ht="15">
      <c r="E895" s="1645"/>
      <c r="F895" s="1707"/>
      <c r="G895" s="1707"/>
      <c r="H895" s="1707"/>
      <c r="I895" s="1707"/>
      <c r="J895" s="1707"/>
      <c r="K895" s="1707"/>
      <c r="L895" s="1704"/>
      <c r="M895" s="1704"/>
    </row>
    <row r="896" spans="5:13" ht="15">
      <c r="E896" s="1645"/>
      <c r="F896" s="1707"/>
      <c r="G896" s="1707"/>
      <c r="H896" s="1707"/>
      <c r="I896" s="1707"/>
      <c r="J896" s="1707"/>
      <c r="K896" s="1707"/>
      <c r="L896" s="1704"/>
      <c r="M896" s="1704"/>
    </row>
    <row r="897" spans="5:13" ht="15">
      <c r="E897" s="1645"/>
      <c r="F897" s="1707"/>
      <c r="G897" s="1707"/>
      <c r="H897" s="1707"/>
      <c r="I897" s="1707"/>
      <c r="J897" s="1707"/>
      <c r="K897" s="1707"/>
      <c r="L897" s="1704"/>
      <c r="M897" s="1704"/>
    </row>
    <row r="898" spans="5:13" ht="15">
      <c r="E898" s="1645"/>
      <c r="F898" s="1707"/>
      <c r="G898" s="1707"/>
      <c r="H898" s="1707"/>
      <c r="I898" s="1707"/>
      <c r="J898" s="1707"/>
      <c r="K898" s="1707"/>
      <c r="L898" s="1704"/>
      <c r="M898" s="1704"/>
    </row>
    <row r="899" spans="5:13" ht="15">
      <c r="E899" s="1645"/>
      <c r="F899" s="1707"/>
      <c r="G899" s="1707"/>
      <c r="H899" s="1707"/>
      <c r="I899" s="1707"/>
      <c r="J899" s="1707"/>
      <c r="K899" s="1707"/>
      <c r="L899" s="1704"/>
      <c r="M899" s="1704"/>
    </row>
    <row r="900" spans="5:13" ht="15">
      <c r="E900" s="1645"/>
      <c r="F900" s="1707"/>
      <c r="G900" s="1707"/>
      <c r="H900" s="1707"/>
      <c r="I900" s="1707"/>
      <c r="J900" s="1707"/>
      <c r="K900" s="1707"/>
      <c r="L900" s="1704"/>
      <c r="M900" s="1704"/>
    </row>
    <row r="901" spans="5:13" ht="15">
      <c r="E901" s="1645"/>
      <c r="F901" s="1707"/>
      <c r="G901" s="1707"/>
      <c r="H901" s="1707"/>
      <c r="I901" s="1707"/>
      <c r="J901" s="1707"/>
      <c r="K901" s="1707"/>
      <c r="L901" s="1704"/>
      <c r="M901" s="1704"/>
    </row>
    <row r="902" spans="5:13" ht="15">
      <c r="E902" s="1645"/>
      <c r="F902" s="1707"/>
      <c r="G902" s="1707"/>
      <c r="H902" s="1707"/>
      <c r="I902" s="1707"/>
      <c r="J902" s="1707"/>
      <c r="K902" s="1707"/>
      <c r="L902" s="1704"/>
      <c r="M902" s="1704"/>
    </row>
    <row r="903" spans="5:13" ht="15">
      <c r="E903" s="1645"/>
      <c r="F903" s="1707"/>
      <c r="G903" s="1707"/>
      <c r="H903" s="1707"/>
      <c r="I903" s="1707"/>
      <c r="J903" s="1707"/>
      <c r="K903" s="1707"/>
      <c r="L903" s="1704"/>
      <c r="M903" s="1704"/>
    </row>
    <row r="904" spans="5:13" ht="15">
      <c r="E904" s="1645"/>
      <c r="F904" s="1707"/>
      <c r="G904" s="1707"/>
      <c r="H904" s="1707"/>
      <c r="I904" s="1707"/>
      <c r="J904" s="1707"/>
      <c r="K904" s="1707"/>
      <c r="L904" s="1704"/>
      <c r="M904" s="1704"/>
    </row>
    <row r="905" spans="5:13" ht="15">
      <c r="E905" s="1645"/>
      <c r="F905" s="1707"/>
      <c r="G905" s="1707"/>
      <c r="H905" s="1707"/>
      <c r="I905" s="1707"/>
      <c r="J905" s="1707"/>
      <c r="K905" s="1707"/>
      <c r="L905" s="1704"/>
      <c r="M905" s="1704"/>
    </row>
    <row r="906" spans="5:13" ht="15">
      <c r="E906" s="1645"/>
      <c r="F906" s="1707"/>
      <c r="G906" s="1707"/>
      <c r="H906" s="1707"/>
      <c r="I906" s="1707"/>
      <c r="J906" s="1707"/>
      <c r="K906" s="1707"/>
      <c r="L906" s="1704"/>
      <c r="M906" s="1704"/>
    </row>
    <row r="907" spans="5:13" ht="15">
      <c r="E907" s="1645"/>
      <c r="F907" s="1707"/>
      <c r="G907" s="1707"/>
      <c r="H907" s="1707"/>
      <c r="I907" s="1707"/>
      <c r="J907" s="1707"/>
      <c r="K907" s="1707"/>
      <c r="L907" s="1704"/>
      <c r="M907" s="1704"/>
    </row>
    <row r="908" spans="5:13" ht="15">
      <c r="E908" s="1645"/>
      <c r="F908" s="1707"/>
      <c r="G908" s="1707"/>
      <c r="H908" s="1707"/>
      <c r="I908" s="1707"/>
      <c r="J908" s="1707"/>
      <c r="K908" s="1707"/>
      <c r="L908" s="1704"/>
      <c r="M908" s="1704"/>
    </row>
    <row r="909" spans="5:13" ht="15">
      <c r="E909" s="1645"/>
      <c r="F909" s="1707"/>
      <c r="G909" s="1707"/>
      <c r="H909" s="1707"/>
      <c r="I909" s="1707"/>
      <c r="J909" s="1707"/>
      <c r="K909" s="1707"/>
      <c r="L909" s="1704"/>
      <c r="M909" s="1704"/>
    </row>
    <row r="910" spans="5:13" ht="15">
      <c r="E910" s="1645"/>
      <c r="F910" s="1707"/>
      <c r="G910" s="1707"/>
      <c r="H910" s="1707"/>
      <c r="I910" s="1707"/>
      <c r="J910" s="1707"/>
      <c r="K910" s="1707"/>
      <c r="L910" s="1704"/>
      <c r="M910" s="1704"/>
    </row>
    <row r="911" spans="5:13" ht="15">
      <c r="E911" s="1645"/>
      <c r="F911" s="1707"/>
      <c r="G911" s="1707"/>
      <c r="H911" s="1707"/>
      <c r="I911" s="1707"/>
      <c r="J911" s="1707"/>
      <c r="K911" s="1707"/>
      <c r="L911" s="1704"/>
      <c r="M911" s="1704"/>
    </row>
    <row r="912" spans="5:13" ht="15">
      <c r="E912" s="1645"/>
      <c r="F912" s="1707"/>
      <c r="G912" s="1707"/>
      <c r="H912" s="1707"/>
      <c r="I912" s="1707"/>
      <c r="J912" s="1707"/>
      <c r="K912" s="1707"/>
      <c r="L912" s="1704"/>
      <c r="M912" s="1704"/>
    </row>
    <row r="913" spans="5:13" ht="15">
      <c r="E913" s="1645"/>
      <c r="F913" s="1707"/>
      <c r="G913" s="1707"/>
      <c r="H913" s="1707"/>
      <c r="I913" s="1707"/>
      <c r="J913" s="1707"/>
      <c r="K913" s="1707"/>
      <c r="L913" s="1704"/>
      <c r="M913" s="1704"/>
    </row>
    <row r="914" spans="5:13" ht="15">
      <c r="E914" s="1645"/>
      <c r="F914" s="1707"/>
      <c r="G914" s="1707"/>
      <c r="H914" s="1707"/>
      <c r="I914" s="1707"/>
      <c r="J914" s="1707"/>
      <c r="K914" s="1707"/>
      <c r="L914" s="1704"/>
      <c r="M914" s="1704"/>
    </row>
    <row r="915" spans="5:13" ht="15">
      <c r="E915" s="1645"/>
      <c r="F915" s="1707"/>
      <c r="G915" s="1707"/>
      <c r="H915" s="1707"/>
      <c r="I915" s="1707"/>
      <c r="J915" s="1707"/>
      <c r="K915" s="1707"/>
      <c r="L915" s="1704"/>
      <c r="M915" s="1704"/>
    </row>
    <row r="916" spans="5:13" ht="15">
      <c r="E916" s="1645"/>
      <c r="F916" s="1707"/>
      <c r="G916" s="1707"/>
      <c r="H916" s="1707"/>
      <c r="I916" s="1707"/>
      <c r="J916" s="1707"/>
      <c r="K916" s="1707"/>
      <c r="L916" s="1704"/>
      <c r="M916" s="1704"/>
    </row>
    <row r="917" spans="5:13" ht="15">
      <c r="E917" s="1645"/>
      <c r="F917" s="1707"/>
      <c r="G917" s="1707"/>
      <c r="H917" s="1707"/>
      <c r="I917" s="1707"/>
      <c r="J917" s="1707"/>
      <c r="K917" s="1707"/>
      <c r="L917" s="1704"/>
      <c r="M917" s="1704"/>
    </row>
    <row r="918" spans="5:13" ht="15">
      <c r="E918" s="1645"/>
      <c r="F918" s="1707"/>
      <c r="G918" s="1707"/>
      <c r="H918" s="1707"/>
      <c r="I918" s="1707"/>
      <c r="J918" s="1707"/>
      <c r="K918" s="1707"/>
      <c r="L918" s="1704"/>
      <c r="M918" s="1704"/>
    </row>
    <row r="919" spans="5:13" ht="15">
      <c r="E919" s="1645"/>
      <c r="F919" s="1707"/>
      <c r="G919" s="1707"/>
      <c r="H919" s="1707"/>
      <c r="I919" s="1707"/>
      <c r="J919" s="1707"/>
      <c r="K919" s="1707"/>
      <c r="L919" s="1704"/>
      <c r="M919" s="1704"/>
    </row>
    <row r="920" spans="5:13" ht="15">
      <c r="E920" s="1645"/>
      <c r="F920" s="1707"/>
      <c r="G920" s="1707"/>
      <c r="H920" s="1707"/>
      <c r="I920" s="1707"/>
      <c r="J920" s="1707"/>
      <c r="K920" s="1707"/>
      <c r="L920" s="1704"/>
      <c r="M920" s="1704"/>
    </row>
    <row r="921" spans="5:13" ht="15">
      <c r="E921" s="1645"/>
      <c r="F921" s="1707"/>
      <c r="G921" s="1707"/>
      <c r="H921" s="1707"/>
      <c r="I921" s="1707"/>
      <c r="J921" s="1707"/>
      <c r="K921" s="1707"/>
      <c r="L921" s="1704"/>
      <c r="M921" s="1704"/>
    </row>
    <row r="922" spans="5:13" ht="15">
      <c r="E922" s="1645"/>
      <c r="F922" s="1707"/>
      <c r="G922" s="1707"/>
      <c r="H922" s="1707"/>
      <c r="I922" s="1707"/>
      <c r="J922" s="1707"/>
      <c r="K922" s="1707"/>
      <c r="L922" s="1704"/>
      <c r="M922" s="1704"/>
    </row>
    <row r="923" spans="5:13" ht="15">
      <c r="E923" s="1645"/>
      <c r="F923" s="1707"/>
      <c r="G923" s="1707"/>
      <c r="H923" s="1707"/>
      <c r="I923" s="1707"/>
      <c r="J923" s="1707"/>
      <c r="K923" s="1707"/>
      <c r="L923" s="1704"/>
      <c r="M923" s="1704"/>
    </row>
    <row r="924" spans="5:13" ht="15">
      <c r="E924" s="1645"/>
      <c r="F924" s="1707"/>
      <c r="G924" s="1707"/>
      <c r="H924" s="1707"/>
      <c r="I924" s="1707"/>
      <c r="J924" s="1707"/>
      <c r="K924" s="1707"/>
      <c r="L924" s="1704"/>
      <c r="M924" s="1704"/>
    </row>
    <row r="925" spans="5:13" ht="15">
      <c r="E925" s="1645"/>
      <c r="F925" s="1707"/>
      <c r="G925" s="1707"/>
      <c r="H925" s="1707"/>
      <c r="I925" s="1707"/>
      <c r="J925" s="1707"/>
      <c r="K925" s="1707"/>
      <c r="L925" s="1704"/>
      <c r="M925" s="1704"/>
    </row>
    <row r="926" spans="5:13" ht="15">
      <c r="E926" s="1645"/>
      <c r="F926" s="1707"/>
      <c r="G926" s="1707"/>
      <c r="H926" s="1707"/>
      <c r="I926" s="1707"/>
      <c r="J926" s="1707"/>
      <c r="K926" s="1707"/>
      <c r="L926" s="1704"/>
      <c r="M926" s="1704"/>
    </row>
    <row r="927" spans="5:13" ht="15">
      <c r="E927" s="1645"/>
      <c r="F927" s="1707"/>
      <c r="G927" s="1707"/>
      <c r="H927" s="1707"/>
      <c r="I927" s="1707"/>
      <c r="J927" s="1707"/>
      <c r="K927" s="1707"/>
      <c r="L927" s="1704"/>
      <c r="M927" s="1704"/>
    </row>
    <row r="928" spans="5:13" ht="15">
      <c r="E928" s="1645"/>
      <c r="F928" s="1707"/>
      <c r="G928" s="1707"/>
      <c r="H928" s="1707"/>
      <c r="I928" s="1707"/>
      <c r="J928" s="1707"/>
      <c r="K928" s="1707"/>
      <c r="L928" s="1704"/>
      <c r="M928" s="1704"/>
    </row>
    <row r="929" spans="5:13" ht="15">
      <c r="E929" s="1645"/>
      <c r="F929" s="1707"/>
      <c r="G929" s="1707"/>
      <c r="H929" s="1707"/>
      <c r="I929" s="1707"/>
      <c r="J929" s="1707"/>
      <c r="K929" s="1707"/>
      <c r="L929" s="1704"/>
      <c r="M929" s="1704"/>
    </row>
    <row r="930" spans="5:13" ht="15">
      <c r="E930" s="1645"/>
      <c r="F930" s="1707"/>
      <c r="G930" s="1707"/>
      <c r="H930" s="1707"/>
      <c r="I930" s="1707"/>
      <c r="J930" s="1707"/>
      <c r="K930" s="1707"/>
      <c r="L930" s="1704"/>
      <c r="M930" s="1704"/>
    </row>
    <row r="931" spans="5:13" ht="15">
      <c r="E931" s="1645"/>
      <c r="F931" s="1707"/>
      <c r="G931" s="1707"/>
      <c r="H931" s="1707"/>
      <c r="I931" s="1707"/>
      <c r="J931" s="1707"/>
      <c r="K931" s="1707"/>
      <c r="L931" s="1704"/>
      <c r="M931" s="1704"/>
    </row>
    <row r="932" spans="5:13" ht="15">
      <c r="E932" s="1645"/>
      <c r="F932" s="1707"/>
      <c r="G932" s="1707"/>
      <c r="H932" s="1707"/>
      <c r="I932" s="1707"/>
      <c r="J932" s="1707"/>
      <c r="K932" s="1707"/>
      <c r="L932" s="1704"/>
      <c r="M932" s="1704"/>
    </row>
    <row r="933" spans="5:13" ht="15">
      <c r="E933" s="1645"/>
      <c r="F933" s="1707"/>
      <c r="G933" s="1707"/>
      <c r="H933" s="1707"/>
      <c r="I933" s="1707"/>
      <c r="J933" s="1707"/>
      <c r="K933" s="1707"/>
      <c r="L933" s="1704"/>
      <c r="M933" s="1704"/>
    </row>
    <row r="934" spans="5:13" ht="15">
      <c r="E934" s="1645"/>
      <c r="F934" s="1707"/>
      <c r="G934" s="1707"/>
      <c r="H934" s="1707"/>
      <c r="I934" s="1707"/>
      <c r="J934" s="1707"/>
      <c r="K934" s="1707"/>
      <c r="L934" s="1704"/>
      <c r="M934" s="1704"/>
    </row>
    <row r="935" spans="5:13" ht="15">
      <c r="E935" s="1645"/>
      <c r="F935" s="1707"/>
      <c r="G935" s="1707"/>
      <c r="H935" s="1707"/>
      <c r="I935" s="1707"/>
      <c r="J935" s="1707"/>
      <c r="K935" s="1707"/>
      <c r="L935" s="1704"/>
      <c r="M935" s="1704"/>
    </row>
    <row r="936" spans="5:13" ht="15">
      <c r="E936" s="1645"/>
      <c r="F936" s="1707"/>
      <c r="G936" s="1707"/>
      <c r="H936" s="1707"/>
      <c r="I936" s="1707"/>
      <c r="J936" s="1707"/>
      <c r="K936" s="1707"/>
      <c r="L936" s="1704"/>
      <c r="M936" s="1704"/>
    </row>
    <row r="937" spans="5:13" ht="15">
      <c r="E937" s="1645"/>
      <c r="F937" s="1707"/>
      <c r="G937" s="1707"/>
      <c r="H937" s="1707"/>
      <c r="I937" s="1707"/>
      <c r="J937" s="1707"/>
      <c r="K937" s="1707"/>
      <c r="L937" s="1704"/>
      <c r="M937" s="1704"/>
    </row>
    <row r="938" spans="5:13" ht="15">
      <c r="E938" s="1645"/>
      <c r="F938" s="1707"/>
      <c r="G938" s="1707"/>
      <c r="H938" s="1707"/>
      <c r="I938" s="1707"/>
      <c r="J938" s="1707"/>
      <c r="K938" s="1707"/>
      <c r="L938" s="1704"/>
      <c r="M938" s="1704"/>
    </row>
    <row r="939" spans="5:13" ht="15">
      <c r="E939" s="1645"/>
      <c r="F939" s="1707"/>
      <c r="G939" s="1707"/>
      <c r="H939" s="1707"/>
      <c r="I939" s="1707"/>
      <c r="J939" s="1707"/>
      <c r="K939" s="1707"/>
      <c r="L939" s="1704"/>
      <c r="M939" s="1704"/>
    </row>
    <row r="940" spans="5:13" ht="15">
      <c r="E940" s="1645"/>
      <c r="F940" s="1707"/>
      <c r="G940" s="1707"/>
      <c r="H940" s="1707"/>
      <c r="I940" s="1707"/>
      <c r="J940" s="1707"/>
      <c r="K940" s="1707"/>
      <c r="L940" s="1704"/>
      <c r="M940" s="1704"/>
    </row>
    <row r="941" spans="5:13" ht="15">
      <c r="E941" s="1645"/>
      <c r="F941" s="1707"/>
      <c r="G941" s="1707"/>
      <c r="H941" s="1707"/>
      <c r="I941" s="1707"/>
      <c r="J941" s="1707"/>
      <c r="K941" s="1707"/>
      <c r="L941" s="1704"/>
      <c r="M941" s="1704"/>
    </row>
    <row r="942" spans="5:13" ht="15">
      <c r="E942" s="1645"/>
      <c r="F942" s="1707"/>
      <c r="G942" s="1707"/>
      <c r="H942" s="1707"/>
      <c r="I942" s="1707"/>
      <c r="J942" s="1707"/>
      <c r="K942" s="1707"/>
      <c r="L942" s="1704"/>
      <c r="M942" s="1704"/>
    </row>
    <row r="943" spans="5:13" ht="15">
      <c r="E943" s="1645"/>
      <c r="F943" s="1707"/>
      <c r="G943" s="1707"/>
      <c r="H943" s="1707"/>
      <c r="I943" s="1707"/>
      <c r="J943" s="1707"/>
      <c r="K943" s="1707"/>
      <c r="L943" s="1704"/>
      <c r="M943" s="1704"/>
    </row>
    <row r="944" spans="5:13" ht="15">
      <c r="E944" s="1645"/>
      <c r="F944" s="1707"/>
      <c r="G944" s="1707"/>
      <c r="H944" s="1707"/>
      <c r="I944" s="1707"/>
      <c r="J944" s="1707"/>
      <c r="K944" s="1707"/>
      <c r="L944" s="1704"/>
      <c r="M944" s="1704"/>
    </row>
    <row r="945" spans="5:13" ht="15">
      <c r="E945" s="1645"/>
      <c r="F945" s="1707"/>
      <c r="G945" s="1707"/>
      <c r="H945" s="1707"/>
      <c r="I945" s="1707"/>
      <c r="J945" s="1707"/>
      <c r="K945" s="1707"/>
      <c r="L945" s="1704"/>
      <c r="M945" s="1704"/>
    </row>
    <row r="946" spans="5:13" ht="15">
      <c r="E946" s="1645"/>
      <c r="F946" s="1707"/>
      <c r="G946" s="1707"/>
      <c r="H946" s="1707"/>
      <c r="I946" s="1707"/>
      <c r="J946" s="1707"/>
      <c r="K946" s="1707"/>
      <c r="L946" s="1704"/>
      <c r="M946" s="1704"/>
    </row>
    <row r="947" spans="5:13" ht="15">
      <c r="E947" s="1645"/>
      <c r="F947" s="1707"/>
      <c r="G947" s="1707"/>
      <c r="H947" s="1707"/>
      <c r="I947" s="1707"/>
      <c r="J947" s="1707"/>
      <c r="K947" s="1707"/>
      <c r="L947" s="1704"/>
      <c r="M947" s="1704"/>
    </row>
    <row r="948" spans="5:13" ht="15">
      <c r="E948" s="1645"/>
      <c r="F948" s="1707"/>
      <c r="G948" s="1707"/>
      <c r="H948" s="1707"/>
      <c r="I948" s="1707"/>
      <c r="J948" s="1707"/>
      <c r="K948" s="1707"/>
      <c r="L948" s="1704"/>
      <c r="M948" s="1704"/>
    </row>
    <row r="949" spans="5:13" ht="15">
      <c r="E949" s="1645"/>
      <c r="F949" s="1707"/>
      <c r="G949" s="1707"/>
      <c r="H949" s="1707"/>
      <c r="I949" s="1707"/>
      <c r="J949" s="1707"/>
      <c r="K949" s="1707"/>
      <c r="L949" s="1704"/>
      <c r="M949" s="1704"/>
    </row>
    <row r="950" spans="5:13" ht="15">
      <c r="E950" s="1645"/>
      <c r="F950" s="1707"/>
      <c r="G950" s="1707"/>
      <c r="H950" s="1707"/>
      <c r="I950" s="1707"/>
      <c r="J950" s="1707"/>
      <c r="K950" s="1707"/>
      <c r="L950" s="1704"/>
      <c r="M950" s="1704"/>
    </row>
    <row r="951" spans="5:13" ht="15">
      <c r="E951" s="1645"/>
      <c r="F951" s="1707"/>
      <c r="G951" s="1707"/>
      <c r="H951" s="1707"/>
      <c r="I951" s="1707"/>
      <c r="J951" s="1707"/>
      <c r="K951" s="1707"/>
      <c r="L951" s="1704"/>
      <c r="M951" s="1704"/>
    </row>
    <row r="952" spans="5:13" ht="15">
      <c r="E952" s="1645"/>
      <c r="F952" s="1707"/>
      <c r="G952" s="1707"/>
      <c r="H952" s="1707"/>
      <c r="I952" s="1707"/>
      <c r="J952" s="1707"/>
      <c r="K952" s="1707"/>
      <c r="L952" s="1704"/>
      <c r="M952" s="1704"/>
    </row>
    <row r="953" spans="5:13" ht="15">
      <c r="E953" s="1645"/>
      <c r="F953" s="1707"/>
      <c r="G953" s="1707"/>
      <c r="H953" s="1707"/>
      <c r="I953" s="1707"/>
      <c r="J953" s="1707"/>
      <c r="K953" s="1707"/>
      <c r="L953" s="1704"/>
      <c r="M953" s="1704"/>
    </row>
    <row r="954" spans="5:13" ht="15">
      <c r="E954" s="1645"/>
      <c r="F954" s="1707"/>
      <c r="G954" s="1707"/>
      <c r="H954" s="1707"/>
      <c r="I954" s="1707"/>
      <c r="J954" s="1707"/>
      <c r="K954" s="1707"/>
      <c r="L954" s="1704"/>
      <c r="M954" s="1704"/>
    </row>
    <row r="955" spans="5:13" ht="15">
      <c r="E955" s="1645"/>
      <c r="F955" s="1707"/>
      <c r="G955" s="1707"/>
      <c r="H955" s="1707"/>
      <c r="I955" s="1707"/>
      <c r="J955" s="1707"/>
      <c r="K955" s="1707"/>
      <c r="L955" s="1704"/>
      <c r="M955" s="1704"/>
    </row>
    <row r="956" spans="5:13" ht="15">
      <c r="E956" s="1645"/>
      <c r="F956" s="1707"/>
      <c r="G956" s="1707"/>
      <c r="H956" s="1707"/>
      <c r="I956" s="1707"/>
      <c r="J956" s="1707"/>
      <c r="K956" s="1707"/>
      <c r="L956" s="1704"/>
      <c r="M956" s="1704"/>
    </row>
    <row r="957" spans="5:13" ht="15">
      <c r="E957" s="1645"/>
      <c r="F957" s="1707"/>
      <c r="G957" s="1707"/>
      <c r="H957" s="1707"/>
      <c r="I957" s="1707"/>
      <c r="J957" s="1707"/>
      <c r="K957" s="1707"/>
      <c r="L957" s="1704"/>
      <c r="M957" s="1704"/>
    </row>
    <row r="958" spans="5:13" ht="15">
      <c r="E958" s="1645"/>
      <c r="F958" s="1707"/>
      <c r="G958" s="1707"/>
      <c r="H958" s="1707"/>
      <c r="I958" s="1707"/>
      <c r="J958" s="1707"/>
      <c r="K958" s="1707"/>
      <c r="L958" s="1704"/>
      <c r="M958" s="1704"/>
    </row>
    <row r="959" spans="5:13" ht="15">
      <c r="E959" s="1645"/>
      <c r="F959" s="1707"/>
      <c r="G959" s="1707"/>
      <c r="H959" s="1707"/>
      <c r="I959" s="1707"/>
      <c r="J959" s="1707"/>
      <c r="K959" s="1707"/>
      <c r="L959" s="1704"/>
      <c r="M959" s="1704"/>
    </row>
    <row r="960" spans="5:13" ht="15">
      <c r="E960" s="1645"/>
      <c r="F960" s="1707"/>
      <c r="G960" s="1707"/>
      <c r="H960" s="1707"/>
      <c r="I960" s="1707"/>
      <c r="J960" s="1707"/>
      <c r="K960" s="1707"/>
      <c r="L960" s="1704"/>
      <c r="M960" s="1704"/>
    </row>
    <row r="961" spans="5:13" ht="15">
      <c r="E961" s="1645"/>
      <c r="F961" s="1707"/>
      <c r="G961" s="1707"/>
      <c r="H961" s="1707"/>
      <c r="I961" s="1707"/>
      <c r="J961" s="1707"/>
      <c r="K961" s="1707"/>
      <c r="L961" s="1704"/>
      <c r="M961" s="1704"/>
    </row>
    <row r="962" spans="5:13" ht="15">
      <c r="E962" s="1645"/>
      <c r="F962" s="1707"/>
      <c r="G962" s="1707"/>
      <c r="H962" s="1707"/>
      <c r="I962" s="1707"/>
      <c r="J962" s="1707"/>
      <c r="K962" s="1707"/>
      <c r="L962" s="1704"/>
      <c r="M962" s="1704"/>
    </row>
    <row r="963" spans="5:13" ht="15">
      <c r="E963" s="1645"/>
      <c r="F963" s="1707"/>
      <c r="G963" s="1707"/>
      <c r="H963" s="1707"/>
      <c r="I963" s="1707"/>
      <c r="J963" s="1707"/>
      <c r="K963" s="1707"/>
      <c r="L963" s="1704"/>
      <c r="M963" s="1704"/>
    </row>
    <row r="964" spans="5:13" ht="15">
      <c r="E964" s="1645"/>
      <c r="F964" s="1707"/>
      <c r="G964" s="1707"/>
      <c r="H964" s="1707"/>
      <c r="I964" s="1707"/>
      <c r="J964" s="1707"/>
      <c r="K964" s="1707"/>
      <c r="L964" s="1704"/>
      <c r="M964" s="1704"/>
    </row>
    <row r="965" spans="5:13" ht="15">
      <c r="E965" s="1645"/>
      <c r="F965" s="1707"/>
      <c r="G965" s="1707"/>
      <c r="H965" s="1707"/>
      <c r="I965" s="1707"/>
      <c r="J965" s="1707"/>
      <c r="K965" s="1707"/>
      <c r="L965" s="1704"/>
      <c r="M965" s="1704"/>
    </row>
    <row r="966" spans="5:13" ht="15">
      <c r="E966" s="1645"/>
      <c r="F966" s="1707"/>
      <c r="G966" s="1707"/>
      <c r="H966" s="1707"/>
      <c r="I966" s="1707"/>
      <c r="J966" s="1707"/>
      <c r="K966" s="1707"/>
      <c r="L966" s="1704"/>
      <c r="M966" s="1704"/>
    </row>
    <row r="967" spans="5:13" ht="15">
      <c r="E967" s="1645"/>
      <c r="F967" s="1707"/>
      <c r="G967" s="1707"/>
      <c r="H967" s="1707"/>
      <c r="I967" s="1707"/>
      <c r="J967" s="1707"/>
      <c r="K967" s="1707"/>
      <c r="L967" s="1704"/>
      <c r="M967" s="1704"/>
    </row>
    <row r="968" spans="5:13" ht="15">
      <c r="E968" s="1645"/>
      <c r="F968" s="1707"/>
      <c r="G968" s="1707"/>
      <c r="H968" s="1707"/>
      <c r="I968" s="1707"/>
      <c r="J968" s="1707"/>
      <c r="K968" s="1707"/>
      <c r="L968" s="1704"/>
      <c r="M968" s="1704"/>
    </row>
    <row r="969" spans="5:13" ht="15">
      <c r="E969" s="1645"/>
      <c r="F969" s="1707"/>
      <c r="G969" s="1707"/>
      <c r="H969" s="1707"/>
      <c r="I969" s="1707"/>
      <c r="J969" s="1707"/>
      <c r="K969" s="1707"/>
      <c r="L969" s="1704"/>
      <c r="M969" s="1704"/>
    </row>
    <row r="970" spans="5:13" ht="15">
      <c r="E970" s="1645"/>
      <c r="F970" s="1707"/>
      <c r="G970" s="1707"/>
      <c r="H970" s="1707"/>
      <c r="I970" s="1707"/>
      <c r="J970" s="1707"/>
      <c r="K970" s="1707"/>
      <c r="L970" s="1704"/>
      <c r="M970" s="1704"/>
    </row>
    <row r="971" spans="5:13" ht="15">
      <c r="E971" s="1645"/>
      <c r="F971" s="1707"/>
      <c r="G971" s="1707"/>
      <c r="H971" s="1707"/>
      <c r="I971" s="1707"/>
      <c r="J971" s="1707"/>
      <c r="K971" s="1707"/>
      <c r="L971" s="1704"/>
      <c r="M971" s="1704"/>
    </row>
    <row r="972" spans="5:13" ht="15">
      <c r="E972" s="1645"/>
      <c r="F972" s="1707"/>
      <c r="G972" s="1707"/>
      <c r="H972" s="1707"/>
      <c r="I972" s="1707"/>
      <c r="J972" s="1707"/>
      <c r="K972" s="1707"/>
      <c r="L972" s="1704"/>
      <c r="M972" s="1704"/>
    </row>
    <row r="973" spans="5:13" ht="15">
      <c r="E973" s="1645"/>
      <c r="F973" s="1707"/>
      <c r="G973" s="1707"/>
      <c r="H973" s="1707"/>
      <c r="I973" s="1707"/>
      <c r="J973" s="1707"/>
      <c r="K973" s="1707"/>
      <c r="L973" s="1704"/>
      <c r="M973" s="1704"/>
    </row>
    <row r="974" spans="5:13" ht="15">
      <c r="E974" s="1645"/>
      <c r="F974" s="1707"/>
      <c r="G974" s="1707"/>
      <c r="H974" s="1707"/>
      <c r="I974" s="1707"/>
      <c r="J974" s="1707"/>
      <c r="K974" s="1707"/>
      <c r="L974" s="1704"/>
      <c r="M974" s="1704"/>
    </row>
    <row r="975" spans="5:13" ht="15">
      <c r="E975" s="1645"/>
      <c r="F975" s="1707"/>
      <c r="G975" s="1707"/>
      <c r="H975" s="1707"/>
      <c r="I975" s="1707"/>
      <c r="J975" s="1707"/>
      <c r="K975" s="1707"/>
      <c r="L975" s="1704"/>
      <c r="M975" s="1704"/>
    </row>
    <row r="976" spans="5:13" ht="15">
      <c r="E976" s="1645"/>
      <c r="F976" s="1707"/>
      <c r="G976" s="1707"/>
      <c r="H976" s="1707"/>
      <c r="I976" s="1707"/>
      <c r="J976" s="1707"/>
      <c r="K976" s="1707"/>
      <c r="L976" s="1704"/>
      <c r="M976" s="1704"/>
    </row>
    <row r="977" spans="5:13" ht="15">
      <c r="E977" s="1645"/>
      <c r="F977" s="1707"/>
      <c r="G977" s="1707"/>
      <c r="H977" s="1707"/>
      <c r="I977" s="1707"/>
      <c r="J977" s="1707"/>
      <c r="K977" s="1707"/>
      <c r="L977" s="1704"/>
      <c r="M977" s="1704"/>
    </row>
    <row r="978" spans="5:13" ht="15">
      <c r="E978" s="1645"/>
      <c r="F978" s="1707"/>
      <c r="G978" s="1707"/>
      <c r="H978" s="1707"/>
      <c r="I978" s="1707"/>
      <c r="J978" s="1707"/>
      <c r="K978" s="1707"/>
      <c r="L978" s="1704"/>
      <c r="M978" s="1704"/>
    </row>
    <row r="979" spans="5:13" ht="15">
      <c r="E979" s="1645"/>
      <c r="F979" s="1707"/>
      <c r="G979" s="1707"/>
      <c r="H979" s="1707"/>
      <c r="I979" s="1707"/>
      <c r="J979" s="1707"/>
      <c r="K979" s="1707"/>
      <c r="L979" s="1704"/>
      <c r="M979" s="1704"/>
    </row>
    <row r="980" spans="5:13" ht="15">
      <c r="E980" s="1645"/>
      <c r="F980" s="1707"/>
      <c r="G980" s="1707"/>
      <c r="H980" s="1707"/>
      <c r="I980" s="1707"/>
      <c r="J980" s="1707"/>
      <c r="K980" s="1707"/>
      <c r="L980" s="1704"/>
      <c r="M980" s="1704"/>
    </row>
    <row r="981" spans="5:13" ht="15">
      <c r="E981" s="1645"/>
      <c r="F981" s="1707"/>
      <c r="G981" s="1707"/>
      <c r="H981" s="1707"/>
      <c r="I981" s="1707"/>
      <c r="J981" s="1707"/>
      <c r="K981" s="1707"/>
      <c r="L981" s="1704"/>
      <c r="M981" s="1704"/>
    </row>
    <row r="982" spans="5:13" ht="15">
      <c r="E982" s="1645"/>
      <c r="F982" s="1707"/>
      <c r="G982" s="1707"/>
      <c r="H982" s="1707"/>
      <c r="I982" s="1707"/>
      <c r="J982" s="1707"/>
      <c r="K982" s="1707"/>
      <c r="L982" s="1704"/>
      <c r="M982" s="1704"/>
    </row>
    <row r="983" spans="5:13" ht="15">
      <c r="E983" s="1645"/>
      <c r="F983" s="1707"/>
      <c r="G983" s="1707"/>
      <c r="H983" s="1707"/>
      <c r="I983" s="1707"/>
      <c r="J983" s="1707"/>
      <c r="K983" s="1707"/>
      <c r="L983" s="1704"/>
      <c r="M983" s="1704"/>
    </row>
    <row r="984" spans="5:13" ht="15">
      <c r="E984" s="1645"/>
      <c r="F984" s="1707"/>
      <c r="G984" s="1707"/>
      <c r="H984" s="1707"/>
      <c r="I984" s="1707"/>
      <c r="J984" s="1707"/>
      <c r="K984" s="1707"/>
      <c r="L984" s="1704"/>
      <c r="M984" s="1704"/>
    </row>
    <row r="985" spans="5:13" ht="15">
      <c r="E985" s="1645"/>
      <c r="F985" s="1707"/>
      <c r="G985" s="1707"/>
      <c r="H985" s="1707"/>
      <c r="I985" s="1707"/>
      <c r="J985" s="1707"/>
      <c r="K985" s="1707"/>
      <c r="L985" s="1704"/>
      <c r="M985" s="1704"/>
    </row>
    <row r="986" spans="5:13" ht="15">
      <c r="E986" s="1645"/>
      <c r="F986" s="1707"/>
      <c r="G986" s="1707"/>
      <c r="H986" s="1707"/>
      <c r="I986" s="1707"/>
      <c r="J986" s="1707"/>
      <c r="K986" s="1707"/>
      <c r="L986" s="1704"/>
      <c r="M986" s="1704"/>
    </row>
    <row r="987" spans="5:13" ht="15">
      <c r="E987" s="1645"/>
      <c r="F987" s="1707"/>
      <c r="G987" s="1707"/>
      <c r="H987" s="1707"/>
      <c r="I987" s="1707"/>
      <c r="J987" s="1707"/>
      <c r="K987" s="1707"/>
      <c r="L987" s="1704"/>
      <c r="M987" s="1704"/>
    </row>
    <row r="988" spans="5:13" ht="15">
      <c r="E988" s="1645"/>
      <c r="F988" s="1707"/>
      <c r="G988" s="1707"/>
      <c r="H988" s="1707"/>
      <c r="I988" s="1707"/>
      <c r="J988" s="1707"/>
      <c r="K988" s="1707"/>
      <c r="L988" s="1704"/>
      <c r="M988" s="1704"/>
    </row>
    <row r="989" spans="5:13" ht="15">
      <c r="E989" s="1645"/>
      <c r="F989" s="1707"/>
      <c r="G989" s="1707"/>
      <c r="H989" s="1707"/>
      <c r="I989" s="1707"/>
      <c r="J989" s="1707"/>
      <c r="K989" s="1707"/>
      <c r="L989" s="1704"/>
      <c r="M989" s="1704"/>
    </row>
    <row r="990" spans="5:13" ht="15">
      <c r="E990" s="1645"/>
      <c r="F990" s="1707"/>
      <c r="G990" s="1707"/>
      <c r="H990" s="1707"/>
      <c r="I990" s="1707"/>
      <c r="J990" s="1707"/>
      <c r="K990" s="1707"/>
      <c r="L990" s="1704"/>
      <c r="M990" s="1704"/>
    </row>
    <row r="991" spans="5:13" ht="15">
      <c r="E991" s="1645"/>
      <c r="F991" s="1707"/>
      <c r="G991" s="1707"/>
      <c r="H991" s="1707"/>
      <c r="I991" s="1707"/>
      <c r="J991" s="1707"/>
      <c r="K991" s="1707"/>
      <c r="L991" s="1704"/>
      <c r="M991" s="1704"/>
    </row>
    <row r="992" spans="5:13" ht="15">
      <c r="E992" s="1645"/>
      <c r="F992" s="1707"/>
      <c r="G992" s="1707"/>
      <c r="H992" s="1707"/>
      <c r="I992" s="1707"/>
      <c r="J992" s="1707"/>
      <c r="K992" s="1707"/>
      <c r="L992" s="1704"/>
      <c r="M992" s="1704"/>
    </row>
    <row r="993" spans="5:13" ht="15">
      <c r="E993" s="1645"/>
      <c r="F993" s="1707"/>
      <c r="G993" s="1707"/>
      <c r="H993" s="1707"/>
      <c r="I993" s="1707"/>
      <c r="J993" s="1707"/>
      <c r="K993" s="1707"/>
      <c r="L993" s="1704"/>
      <c r="M993" s="1704"/>
    </row>
    <row r="994" spans="5:13" ht="15">
      <c r="E994" s="1645"/>
      <c r="F994" s="1707"/>
      <c r="G994" s="1707"/>
      <c r="H994" s="1707"/>
      <c r="I994" s="1707"/>
      <c r="J994" s="1707"/>
      <c r="K994" s="1707"/>
      <c r="L994" s="1704"/>
      <c r="M994" s="1704"/>
    </row>
    <row r="995" spans="5:13" ht="15">
      <c r="E995" s="1645"/>
      <c r="F995" s="1707"/>
      <c r="G995" s="1707"/>
      <c r="H995" s="1707"/>
      <c r="I995" s="1707"/>
      <c r="J995" s="1707"/>
      <c r="K995" s="1707"/>
      <c r="L995" s="1704"/>
      <c r="M995" s="1704"/>
    </row>
    <row r="996" spans="5:13" ht="15">
      <c r="E996" s="1645"/>
      <c r="F996" s="1707"/>
      <c r="G996" s="1707"/>
      <c r="H996" s="1707"/>
      <c r="I996" s="1707"/>
      <c r="J996" s="1707"/>
      <c r="K996" s="1707"/>
      <c r="L996" s="1704"/>
      <c r="M996" s="1704"/>
    </row>
    <row r="997" spans="5:13" ht="15">
      <c r="E997" s="1645"/>
      <c r="F997" s="1707"/>
      <c r="G997" s="1707"/>
      <c r="H997" s="1707"/>
      <c r="I997" s="1707"/>
      <c r="J997" s="1707"/>
      <c r="K997" s="1707"/>
      <c r="L997" s="1704"/>
      <c r="M997" s="1704"/>
    </row>
    <row r="998" spans="5:13" ht="15">
      <c r="E998" s="1645"/>
      <c r="F998" s="1707"/>
      <c r="G998" s="1707"/>
      <c r="H998" s="1707"/>
      <c r="I998" s="1707"/>
      <c r="J998" s="1707"/>
      <c r="K998" s="1707"/>
      <c r="L998" s="1704"/>
      <c r="M998" s="1704"/>
    </row>
    <row r="999" spans="5:13" ht="15">
      <c r="E999" s="1645"/>
      <c r="F999" s="1707"/>
      <c r="G999" s="1707"/>
      <c r="H999" s="1707"/>
      <c r="I999" s="1707"/>
      <c r="J999" s="1707"/>
      <c r="K999" s="1707"/>
      <c r="L999" s="1704"/>
      <c r="M999" s="1704"/>
    </row>
    <row r="1000" spans="5:13" ht="15">
      <c r="E1000" s="1645"/>
      <c r="F1000" s="1707"/>
      <c r="G1000" s="1707"/>
      <c r="H1000" s="1707"/>
      <c r="I1000" s="1707"/>
      <c r="J1000" s="1707"/>
      <c r="K1000" s="1707"/>
      <c r="L1000" s="1704"/>
      <c r="M1000" s="1704"/>
    </row>
    <row r="1001" spans="5:13" ht="15">
      <c r="E1001" s="1645"/>
      <c r="F1001" s="1707"/>
      <c r="G1001" s="1707"/>
      <c r="H1001" s="1707"/>
      <c r="I1001" s="1707"/>
      <c r="J1001" s="1707"/>
      <c r="K1001" s="1707"/>
      <c r="L1001" s="1704"/>
      <c r="M1001" s="1704"/>
    </row>
    <row r="1002" spans="5:13" ht="15">
      <c r="E1002" s="1645"/>
      <c r="F1002" s="1707"/>
      <c r="G1002" s="1707"/>
      <c r="H1002" s="1707"/>
      <c r="I1002" s="1707"/>
      <c r="J1002" s="1707"/>
      <c r="K1002" s="1707"/>
      <c r="L1002" s="1704"/>
      <c r="M1002" s="1704"/>
    </row>
    <row r="1003" spans="5:13" ht="15">
      <c r="E1003" s="1645"/>
      <c r="F1003" s="1707"/>
      <c r="G1003" s="1707"/>
      <c r="H1003" s="1707"/>
      <c r="I1003" s="1707"/>
      <c r="J1003" s="1707"/>
      <c r="K1003" s="1707"/>
      <c r="L1003" s="1704"/>
      <c r="M1003" s="1704"/>
    </row>
    <row r="1004" spans="5:13" ht="15">
      <c r="E1004" s="1645"/>
      <c r="F1004" s="1707"/>
      <c r="G1004" s="1707"/>
      <c r="H1004" s="1707"/>
      <c r="I1004" s="1707"/>
      <c r="J1004" s="1707"/>
      <c r="K1004" s="1707"/>
      <c r="L1004" s="1704"/>
      <c r="M1004" s="1704"/>
    </row>
    <row r="1005" spans="5:13" ht="15">
      <c r="E1005" s="1645"/>
      <c r="F1005" s="1707"/>
      <c r="G1005" s="1707"/>
      <c r="H1005" s="1707"/>
      <c r="I1005" s="1707"/>
      <c r="J1005" s="1707"/>
      <c r="K1005" s="1707"/>
      <c r="L1005" s="1704"/>
      <c r="M1005" s="1704"/>
    </row>
    <row r="1006" spans="5:13" ht="15">
      <c r="E1006" s="1645"/>
      <c r="F1006" s="1707"/>
      <c r="G1006" s="1707"/>
      <c r="H1006" s="1707"/>
      <c r="I1006" s="1707"/>
      <c r="J1006" s="1707"/>
      <c r="K1006" s="1707"/>
      <c r="L1006" s="1704"/>
      <c r="M1006" s="1704"/>
    </row>
    <row r="1007" spans="5:13" ht="15">
      <c r="E1007" s="1645"/>
      <c r="F1007" s="1707"/>
      <c r="G1007" s="1707"/>
      <c r="H1007" s="1707"/>
      <c r="I1007" s="1707"/>
      <c r="J1007" s="1707"/>
      <c r="K1007" s="1707"/>
      <c r="L1007" s="1704"/>
      <c r="M1007" s="1704"/>
    </row>
    <row r="1008" spans="5:13" ht="15">
      <c r="E1008" s="1645"/>
      <c r="F1008" s="1707"/>
      <c r="G1008" s="1707"/>
      <c r="H1008" s="1707"/>
      <c r="I1008" s="1707"/>
      <c r="J1008" s="1707"/>
      <c r="K1008" s="1707"/>
      <c r="L1008" s="1704"/>
      <c r="M1008" s="1704"/>
    </row>
    <row r="1009" spans="5:13" ht="15">
      <c r="E1009" s="1645"/>
      <c r="F1009" s="1707"/>
      <c r="G1009" s="1707"/>
      <c r="H1009" s="1707"/>
      <c r="I1009" s="1707"/>
      <c r="J1009" s="1707"/>
      <c r="K1009" s="1707"/>
      <c r="L1009" s="1704"/>
      <c r="M1009" s="1704"/>
    </row>
    <row r="1010" spans="5:13" ht="15">
      <c r="E1010" s="1645"/>
      <c r="F1010" s="1707"/>
      <c r="G1010" s="1707"/>
      <c r="H1010" s="1707"/>
      <c r="I1010" s="1707"/>
      <c r="J1010" s="1707"/>
      <c r="K1010" s="1707"/>
      <c r="L1010" s="1704"/>
      <c r="M1010" s="1704"/>
    </row>
    <row r="1011" spans="5:13" ht="15">
      <c r="E1011" s="1645"/>
      <c r="F1011" s="1707"/>
      <c r="G1011" s="1707"/>
      <c r="H1011" s="1707"/>
      <c r="I1011" s="1707"/>
      <c r="J1011" s="1707"/>
      <c r="K1011" s="1707"/>
      <c r="L1011" s="1704"/>
      <c r="M1011" s="1704"/>
    </row>
    <row r="1012" spans="5:13" ht="15">
      <c r="E1012" s="1645"/>
      <c r="F1012" s="1707"/>
      <c r="G1012" s="1707"/>
      <c r="H1012" s="1707"/>
      <c r="I1012" s="1707"/>
      <c r="J1012" s="1707"/>
      <c r="K1012" s="1707"/>
      <c r="L1012" s="1704"/>
      <c r="M1012" s="1704"/>
    </row>
    <row r="1013" spans="5:13" ht="15">
      <c r="E1013" s="1645"/>
      <c r="F1013" s="1707"/>
      <c r="G1013" s="1707"/>
      <c r="H1013" s="1707"/>
      <c r="I1013" s="1707"/>
      <c r="J1013" s="1707"/>
      <c r="K1013" s="1707"/>
      <c r="L1013" s="1704"/>
      <c r="M1013" s="1704"/>
    </row>
    <row r="1014" spans="5:13" ht="15">
      <c r="E1014" s="1645"/>
      <c r="F1014" s="1707"/>
      <c r="G1014" s="1707"/>
      <c r="H1014" s="1707"/>
      <c r="I1014" s="1707"/>
      <c r="J1014" s="1707"/>
      <c r="K1014" s="1707"/>
      <c r="L1014" s="1704"/>
      <c r="M1014" s="1704"/>
    </row>
    <row r="1015" spans="5:13" ht="15">
      <c r="E1015" s="1645"/>
      <c r="F1015" s="1707"/>
      <c r="G1015" s="1707"/>
      <c r="H1015" s="1707"/>
      <c r="I1015" s="1707"/>
      <c r="J1015" s="1707"/>
      <c r="K1015" s="1707"/>
      <c r="L1015" s="1704"/>
      <c r="M1015" s="1704"/>
    </row>
    <row r="1016" spans="5:13" ht="15">
      <c r="E1016" s="1645"/>
      <c r="F1016" s="1707"/>
      <c r="G1016" s="1707"/>
      <c r="H1016" s="1707"/>
      <c r="I1016" s="1707"/>
      <c r="J1016" s="1707"/>
      <c r="K1016" s="1707"/>
      <c r="L1016" s="1704"/>
      <c r="M1016" s="1704"/>
    </row>
    <row r="1017" spans="5:13" ht="15">
      <c r="E1017" s="1645"/>
      <c r="F1017" s="1707"/>
      <c r="G1017" s="1707"/>
      <c r="H1017" s="1707"/>
      <c r="I1017" s="1707"/>
      <c r="J1017" s="1707"/>
      <c r="K1017" s="1707"/>
      <c r="L1017" s="1704"/>
      <c r="M1017" s="1704"/>
    </row>
    <row r="1018" spans="5:13" ht="15">
      <c r="E1018" s="1645"/>
      <c r="F1018" s="1707"/>
      <c r="G1018" s="1707"/>
      <c r="H1018" s="1707"/>
      <c r="I1018" s="1707"/>
      <c r="J1018" s="1707"/>
      <c r="K1018" s="1707"/>
      <c r="L1018" s="1704"/>
      <c r="M1018" s="1704"/>
    </row>
    <row r="1019" spans="5:13" ht="15">
      <c r="E1019" s="1645"/>
      <c r="F1019" s="1707"/>
      <c r="G1019" s="1707"/>
      <c r="H1019" s="1707"/>
      <c r="I1019" s="1707"/>
      <c r="J1019" s="1707"/>
      <c r="K1019" s="1707"/>
      <c r="L1019" s="1704"/>
      <c r="M1019" s="1704"/>
    </row>
    <row r="1020" spans="5:13" ht="15">
      <c r="E1020" s="1645"/>
      <c r="F1020" s="1707"/>
      <c r="G1020" s="1707"/>
      <c r="H1020" s="1707"/>
      <c r="I1020" s="1707"/>
      <c r="J1020" s="1707"/>
      <c r="K1020" s="1707"/>
      <c r="L1020" s="1704"/>
      <c r="M1020" s="1704"/>
    </row>
    <row r="1021" spans="5:13" ht="15">
      <c r="E1021" s="1645"/>
      <c r="F1021" s="1707"/>
      <c r="G1021" s="1707"/>
      <c r="H1021" s="1707"/>
      <c r="I1021" s="1707"/>
      <c r="J1021" s="1707"/>
      <c r="K1021" s="1707"/>
      <c r="L1021" s="1704"/>
      <c r="M1021" s="1704"/>
    </row>
    <row r="1022" spans="5:13" ht="15">
      <c r="E1022" s="1645"/>
      <c r="F1022" s="1707"/>
      <c r="G1022" s="1707"/>
      <c r="H1022" s="1707"/>
      <c r="I1022" s="1707"/>
      <c r="J1022" s="1707"/>
      <c r="K1022" s="1707"/>
      <c r="L1022" s="1704"/>
      <c r="M1022" s="1704"/>
    </row>
    <row r="1023" spans="5:13" ht="15">
      <c r="E1023" s="1645"/>
      <c r="F1023" s="1707"/>
      <c r="G1023" s="1707"/>
      <c r="H1023" s="1707"/>
      <c r="I1023" s="1707"/>
      <c r="J1023" s="1707"/>
      <c r="K1023" s="1707"/>
      <c r="L1023" s="1704"/>
      <c r="M1023" s="1704"/>
    </row>
    <row r="1024" spans="5:13" ht="15">
      <c r="E1024" s="1645"/>
      <c r="F1024" s="1707"/>
      <c r="G1024" s="1707"/>
      <c r="H1024" s="1707"/>
      <c r="I1024" s="1707"/>
      <c r="J1024" s="1707"/>
      <c r="K1024" s="1707"/>
      <c r="L1024" s="1704"/>
      <c r="M1024" s="1704"/>
    </row>
    <row r="1025" spans="5:13" ht="15">
      <c r="E1025" s="1645"/>
      <c r="F1025" s="1707"/>
      <c r="G1025" s="1707"/>
      <c r="H1025" s="1707"/>
      <c r="I1025" s="1707"/>
      <c r="J1025" s="1707"/>
      <c r="K1025" s="1707"/>
      <c r="L1025" s="1704"/>
      <c r="M1025" s="1704"/>
    </row>
    <row r="1026" spans="5:13" ht="15">
      <c r="E1026" s="1645"/>
      <c r="F1026" s="1707"/>
      <c r="G1026" s="1707"/>
      <c r="H1026" s="1707"/>
      <c r="I1026" s="1707"/>
      <c r="J1026" s="1707"/>
      <c r="K1026" s="1707"/>
      <c r="L1026" s="1704"/>
      <c r="M1026" s="1704"/>
    </row>
    <row r="1027" spans="5:13" ht="15">
      <c r="E1027" s="1645"/>
      <c r="F1027" s="1707"/>
      <c r="G1027" s="1707"/>
      <c r="H1027" s="1707"/>
      <c r="I1027" s="1707"/>
      <c r="J1027" s="1707"/>
      <c r="K1027" s="1707"/>
      <c r="L1027" s="1704"/>
      <c r="M1027" s="1704"/>
    </row>
    <row r="1028" spans="5:13" ht="15">
      <c r="E1028" s="1645"/>
      <c r="F1028" s="1707"/>
      <c r="G1028" s="1707"/>
      <c r="H1028" s="1707"/>
      <c r="I1028" s="1707"/>
      <c r="J1028" s="1707"/>
      <c r="K1028" s="1707"/>
      <c r="L1028" s="1704"/>
      <c r="M1028" s="1704"/>
    </row>
    <row r="1029" spans="5:13" ht="15">
      <c r="E1029" s="1645"/>
      <c r="F1029" s="1707"/>
      <c r="G1029" s="1707"/>
      <c r="H1029" s="1707"/>
      <c r="I1029" s="1707"/>
      <c r="J1029" s="1707"/>
      <c r="K1029" s="1707"/>
      <c r="L1029" s="1704"/>
      <c r="M1029" s="1704"/>
    </row>
    <row r="1030" spans="5:13" ht="15">
      <c r="E1030" s="1645"/>
      <c r="F1030" s="1707"/>
      <c r="G1030" s="1707"/>
      <c r="H1030" s="1707"/>
      <c r="I1030" s="1707"/>
      <c r="J1030" s="1707"/>
      <c r="K1030" s="1707"/>
      <c r="L1030" s="1704"/>
      <c r="M1030" s="1704"/>
    </row>
    <row r="1031" spans="5:13" ht="15">
      <c r="E1031" s="1645"/>
      <c r="F1031" s="1707"/>
      <c r="G1031" s="1707"/>
      <c r="H1031" s="1707"/>
      <c r="I1031" s="1707"/>
      <c r="J1031" s="1707"/>
      <c r="K1031" s="1707"/>
      <c r="L1031" s="1704"/>
      <c r="M1031" s="1704"/>
    </row>
    <row r="1032" spans="5:13" ht="15">
      <c r="E1032" s="1645"/>
      <c r="F1032" s="1707"/>
      <c r="G1032" s="1707"/>
      <c r="H1032" s="1707"/>
      <c r="I1032" s="1707"/>
      <c r="J1032" s="1707"/>
      <c r="K1032" s="1707"/>
      <c r="L1032" s="1704"/>
      <c r="M1032" s="1704"/>
    </row>
    <row r="1033" spans="5:13" ht="15">
      <c r="E1033" s="1645"/>
      <c r="F1033" s="1707"/>
      <c r="G1033" s="1707"/>
      <c r="H1033" s="1707"/>
      <c r="I1033" s="1707"/>
      <c r="J1033" s="1707"/>
      <c r="K1033" s="1707"/>
      <c r="L1033" s="1704"/>
      <c r="M1033" s="1704"/>
    </row>
    <row r="1034" spans="5:13" ht="15">
      <c r="E1034" s="1645"/>
      <c r="F1034" s="1707"/>
      <c r="G1034" s="1707"/>
      <c r="H1034" s="1707"/>
      <c r="I1034" s="1707"/>
      <c r="J1034" s="1707"/>
      <c r="K1034" s="1707"/>
      <c r="L1034" s="1704"/>
      <c r="M1034" s="1704"/>
    </row>
    <row r="1035" spans="5:13" ht="15">
      <c r="E1035" s="1645"/>
      <c r="F1035" s="1707"/>
      <c r="G1035" s="1707"/>
      <c r="H1035" s="1707"/>
      <c r="I1035" s="1707"/>
      <c r="J1035" s="1707"/>
      <c r="K1035" s="1707"/>
      <c r="L1035" s="1704"/>
      <c r="M1035" s="1704"/>
    </row>
    <row r="1036" spans="5:13" ht="15">
      <c r="E1036" s="1645"/>
      <c r="F1036" s="1707"/>
      <c r="G1036" s="1707"/>
      <c r="H1036" s="1707"/>
      <c r="I1036" s="1707"/>
      <c r="J1036" s="1707"/>
      <c r="K1036" s="1707"/>
      <c r="L1036" s="1704"/>
      <c r="M1036" s="1704"/>
    </row>
    <row r="1037" spans="5:13" ht="15">
      <c r="E1037" s="1645"/>
      <c r="F1037" s="1707"/>
      <c r="G1037" s="1707"/>
      <c r="H1037" s="1707"/>
      <c r="I1037" s="1707"/>
      <c r="J1037" s="1707"/>
      <c r="K1037" s="1707"/>
      <c r="L1037" s="1704"/>
      <c r="M1037" s="1704"/>
    </row>
    <row r="1038" spans="5:13" ht="15">
      <c r="E1038" s="1645"/>
      <c r="F1038" s="1707"/>
      <c r="G1038" s="1707"/>
      <c r="H1038" s="1707"/>
      <c r="I1038" s="1707"/>
      <c r="J1038" s="1707"/>
      <c r="K1038" s="1707"/>
      <c r="L1038" s="1704"/>
      <c r="M1038" s="1704"/>
    </row>
    <row r="1039" spans="5:13" ht="15">
      <c r="E1039" s="1645"/>
      <c r="F1039" s="1707"/>
      <c r="G1039" s="1707"/>
      <c r="H1039" s="1707"/>
      <c r="I1039" s="1707"/>
      <c r="J1039" s="1707"/>
      <c r="K1039" s="1707"/>
      <c r="L1039" s="1704"/>
      <c r="M1039" s="1704"/>
    </row>
    <row r="1040" spans="5:13" ht="15">
      <c r="E1040" s="1645"/>
      <c r="F1040" s="1707"/>
      <c r="G1040" s="1707"/>
      <c r="H1040" s="1707"/>
      <c r="I1040" s="1707"/>
      <c r="J1040" s="1707"/>
      <c r="K1040" s="1707"/>
      <c r="L1040" s="1704"/>
      <c r="M1040" s="1704"/>
    </row>
    <row r="1041" spans="5:13" ht="15">
      <c r="E1041" s="1645"/>
      <c r="F1041" s="1707"/>
      <c r="G1041" s="1707"/>
      <c r="H1041" s="1707"/>
      <c r="I1041" s="1707"/>
      <c r="J1041" s="1707"/>
      <c r="K1041" s="1707"/>
      <c r="L1041" s="1704"/>
      <c r="M1041" s="1704"/>
    </row>
    <row r="1042" spans="5:13" ht="15">
      <c r="E1042" s="1645"/>
      <c r="F1042" s="1707"/>
      <c r="G1042" s="1707"/>
      <c r="H1042" s="1707"/>
      <c r="I1042" s="1707"/>
      <c r="J1042" s="1707"/>
      <c r="K1042" s="1707"/>
      <c r="L1042" s="1704"/>
      <c r="M1042" s="1704"/>
    </row>
    <row r="1043" spans="5:13" ht="15">
      <c r="E1043" s="1645"/>
      <c r="F1043" s="1707"/>
      <c r="G1043" s="1707"/>
      <c r="H1043" s="1707"/>
      <c r="I1043" s="1707"/>
      <c r="J1043" s="1707"/>
      <c r="K1043" s="1707"/>
      <c r="L1043" s="1704"/>
      <c r="M1043" s="1704"/>
    </row>
    <row r="1044" spans="5:13" ht="15">
      <c r="E1044" s="1645"/>
      <c r="F1044" s="1707"/>
      <c r="G1044" s="1707"/>
      <c r="H1044" s="1707"/>
      <c r="I1044" s="1707"/>
      <c r="J1044" s="1707"/>
      <c r="K1044" s="1707"/>
      <c r="L1044" s="1704"/>
      <c r="M1044" s="1704"/>
    </row>
    <row r="1045" spans="5:13" ht="15">
      <c r="E1045" s="1645"/>
      <c r="F1045" s="1707"/>
      <c r="G1045" s="1707"/>
      <c r="H1045" s="1707"/>
      <c r="I1045" s="1707"/>
      <c r="J1045" s="1707"/>
      <c r="K1045" s="1707"/>
      <c r="L1045" s="1704"/>
      <c r="M1045" s="1704"/>
    </row>
    <row r="1046" spans="5:13" ht="15">
      <c r="E1046" s="1645"/>
      <c r="F1046" s="1707"/>
      <c r="G1046" s="1707"/>
      <c r="H1046" s="1707"/>
      <c r="I1046" s="1707"/>
      <c r="J1046" s="1707"/>
      <c r="K1046" s="1707"/>
      <c r="L1046" s="1704"/>
      <c r="M1046" s="1704"/>
    </row>
    <row r="1047" spans="5:13" ht="15">
      <c r="E1047" s="1645"/>
      <c r="F1047" s="1707"/>
      <c r="G1047" s="1707"/>
      <c r="H1047" s="1707"/>
      <c r="I1047" s="1707"/>
      <c r="J1047" s="1707"/>
      <c r="K1047" s="1707"/>
      <c r="L1047" s="1704"/>
      <c r="M1047" s="1704"/>
    </row>
    <row r="1048" spans="5:13" ht="15">
      <c r="E1048" s="1645"/>
      <c r="F1048" s="1707"/>
      <c r="G1048" s="1707"/>
      <c r="H1048" s="1707"/>
      <c r="I1048" s="1707"/>
      <c r="J1048" s="1707"/>
      <c r="K1048" s="1707"/>
      <c r="L1048" s="1704"/>
      <c r="M1048" s="1704"/>
    </row>
    <row r="1049" spans="5:13" ht="15">
      <c r="E1049" s="1645"/>
      <c r="F1049" s="1707"/>
      <c r="G1049" s="1707"/>
      <c r="H1049" s="1707"/>
      <c r="I1049" s="1707"/>
      <c r="J1049" s="1707"/>
      <c r="K1049" s="1707"/>
      <c r="L1049" s="1704"/>
      <c r="M1049" s="1704"/>
    </row>
    <row r="1050" spans="5:13" ht="15">
      <c r="E1050" s="1645"/>
      <c r="F1050" s="1707"/>
      <c r="G1050" s="1707"/>
      <c r="H1050" s="1707"/>
      <c r="I1050" s="1707"/>
      <c r="J1050" s="1707"/>
      <c r="K1050" s="1707"/>
      <c r="L1050" s="1704"/>
      <c r="M1050" s="1704"/>
    </row>
    <row r="1051" spans="5:13" ht="15">
      <c r="E1051" s="1645"/>
      <c r="F1051" s="1707"/>
      <c r="G1051" s="1707"/>
      <c r="H1051" s="1707"/>
      <c r="I1051" s="1707"/>
      <c r="J1051" s="1707"/>
      <c r="K1051" s="1707"/>
      <c r="L1051" s="1704"/>
      <c r="M1051" s="1704"/>
    </row>
    <row r="1052" spans="5:13" ht="15">
      <c r="E1052" s="1645"/>
      <c r="F1052" s="1707"/>
      <c r="G1052" s="1707"/>
      <c r="H1052" s="1707"/>
      <c r="I1052" s="1707"/>
      <c r="J1052" s="1707"/>
      <c r="K1052" s="1707"/>
      <c r="L1052" s="1704"/>
      <c r="M1052" s="1704"/>
    </row>
    <row r="1053" spans="5:13" ht="15">
      <c r="E1053" s="1645"/>
      <c r="F1053" s="1707"/>
      <c r="G1053" s="1707"/>
      <c r="H1053" s="1707"/>
      <c r="I1053" s="1707"/>
      <c r="J1053" s="1707"/>
      <c r="K1053" s="1707"/>
      <c r="L1053" s="1704"/>
      <c r="M1053" s="1704"/>
    </row>
    <row r="1054" spans="5:13" ht="15">
      <c r="E1054" s="1645"/>
      <c r="F1054" s="1707"/>
      <c r="G1054" s="1707"/>
      <c r="H1054" s="1707"/>
      <c r="I1054" s="1707"/>
      <c r="J1054" s="1707"/>
      <c r="K1054" s="1707"/>
      <c r="L1054" s="1704"/>
      <c r="M1054" s="1704"/>
    </row>
    <row r="1055" spans="5:13" ht="15">
      <c r="E1055" s="1645"/>
      <c r="F1055" s="1707"/>
      <c r="G1055" s="1707"/>
      <c r="H1055" s="1707"/>
      <c r="I1055" s="1707"/>
      <c r="J1055" s="1707"/>
      <c r="K1055" s="1707"/>
      <c r="L1055" s="1704"/>
      <c r="M1055" s="1704"/>
    </row>
    <row r="1056" spans="5:13" ht="15">
      <c r="E1056" s="1645"/>
      <c r="F1056" s="1707"/>
      <c r="G1056" s="1707"/>
      <c r="H1056" s="1707"/>
      <c r="I1056" s="1707"/>
      <c r="J1056" s="1707"/>
      <c r="K1056" s="1707"/>
      <c r="L1056" s="1704"/>
      <c r="M1056" s="1704"/>
    </row>
    <row r="1057" spans="5:13" ht="15">
      <c r="E1057" s="1645"/>
      <c r="F1057" s="1707"/>
      <c r="G1057" s="1707"/>
      <c r="H1057" s="1707"/>
      <c r="I1057" s="1707"/>
      <c r="J1057" s="1707"/>
      <c r="K1057" s="1707"/>
      <c r="L1057" s="1704"/>
      <c r="M1057" s="1704"/>
    </row>
    <row r="1058" spans="5:13" ht="15">
      <c r="E1058" s="1645"/>
      <c r="F1058" s="1707"/>
      <c r="G1058" s="1707"/>
      <c r="H1058" s="1707"/>
      <c r="I1058" s="1707"/>
      <c r="J1058" s="1707"/>
      <c r="K1058" s="1707"/>
      <c r="L1058" s="1704"/>
      <c r="M1058" s="1704"/>
    </row>
    <row r="1059" spans="5:13" ht="15">
      <c r="E1059" s="1645"/>
      <c r="F1059" s="1707"/>
      <c r="G1059" s="1707"/>
      <c r="H1059" s="1707"/>
      <c r="I1059" s="1707"/>
      <c r="J1059" s="1707"/>
      <c r="K1059" s="1707"/>
      <c r="L1059" s="1704"/>
      <c r="M1059" s="1704"/>
    </row>
    <row r="1060" spans="5:13" ht="15">
      <c r="E1060" s="1645"/>
      <c r="F1060" s="1707"/>
      <c r="G1060" s="1707"/>
      <c r="H1060" s="1707"/>
      <c r="I1060" s="1707"/>
      <c r="J1060" s="1707"/>
      <c r="K1060" s="1707"/>
      <c r="L1060" s="1704"/>
      <c r="M1060" s="1704"/>
    </row>
    <row r="1061" spans="5:13" ht="15">
      <c r="E1061" s="1645"/>
      <c r="F1061" s="1707"/>
      <c r="G1061" s="1707"/>
      <c r="H1061" s="1707"/>
      <c r="I1061" s="1707"/>
      <c r="J1061" s="1707"/>
      <c r="K1061" s="1707"/>
      <c r="L1061" s="1704"/>
      <c r="M1061" s="1704"/>
    </row>
    <row r="1062" spans="5:13" ht="15">
      <c r="E1062" s="1645"/>
      <c r="F1062" s="1707"/>
      <c r="G1062" s="1707"/>
      <c r="H1062" s="1707"/>
      <c r="I1062" s="1707"/>
      <c r="J1062" s="1707"/>
      <c r="K1062" s="1707"/>
      <c r="L1062" s="1704"/>
      <c r="M1062" s="1704"/>
    </row>
    <row r="1063" spans="5:13" ht="15">
      <c r="E1063" s="1645"/>
      <c r="F1063" s="1707"/>
      <c r="G1063" s="1707"/>
      <c r="H1063" s="1707"/>
      <c r="I1063" s="1707"/>
      <c r="J1063" s="1707"/>
      <c r="K1063" s="1707"/>
      <c r="L1063" s="1704"/>
      <c r="M1063" s="1704"/>
    </row>
    <row r="1064" spans="5:13" ht="15">
      <c r="E1064" s="1645"/>
      <c r="F1064" s="1707"/>
      <c r="G1064" s="1707"/>
      <c r="H1064" s="1707"/>
      <c r="I1064" s="1707"/>
      <c r="J1064" s="1707"/>
      <c r="K1064" s="1707"/>
      <c r="L1064" s="1704"/>
      <c r="M1064" s="1704"/>
    </row>
    <row r="1065" spans="5:13" ht="15">
      <c r="E1065" s="1645"/>
      <c r="F1065" s="1707"/>
      <c r="G1065" s="1707"/>
      <c r="H1065" s="1707"/>
      <c r="I1065" s="1707"/>
      <c r="J1065" s="1707"/>
      <c r="K1065" s="1707"/>
      <c r="L1065" s="1704"/>
      <c r="M1065" s="1704"/>
    </row>
    <row r="1066" spans="5:13" ht="15">
      <c r="E1066" s="1645"/>
      <c r="F1066" s="1707"/>
      <c r="G1066" s="1707"/>
      <c r="H1066" s="1707"/>
      <c r="I1066" s="1707"/>
      <c r="J1066" s="1707"/>
      <c r="K1066" s="1707"/>
      <c r="L1066" s="1704"/>
      <c r="M1066" s="1704"/>
    </row>
    <row r="1067" spans="5:13" ht="15">
      <c r="E1067" s="1645"/>
      <c r="F1067" s="1707"/>
      <c r="G1067" s="1707"/>
      <c r="H1067" s="1707"/>
      <c r="I1067" s="1707"/>
      <c r="J1067" s="1707"/>
      <c r="K1067" s="1707"/>
      <c r="L1067" s="1704"/>
      <c r="M1067" s="1704"/>
    </row>
    <row r="1068" spans="5:13" ht="15">
      <c r="E1068" s="1645"/>
      <c r="F1068" s="1707"/>
      <c r="G1068" s="1707"/>
      <c r="H1068" s="1707"/>
      <c r="I1068" s="1707"/>
      <c r="J1068" s="1707"/>
      <c r="K1068" s="1707"/>
      <c r="L1068" s="1704"/>
      <c r="M1068" s="1704"/>
    </row>
    <row r="1069" spans="5:13" ht="15">
      <c r="E1069" s="1645"/>
      <c r="F1069" s="1707"/>
      <c r="G1069" s="1707"/>
      <c r="H1069" s="1707"/>
      <c r="I1069" s="1707"/>
      <c r="J1069" s="1707"/>
      <c r="K1069" s="1707"/>
      <c r="L1069" s="1704"/>
      <c r="M1069" s="1704"/>
    </row>
    <row r="1070" spans="5:13" ht="15">
      <c r="E1070" s="1645"/>
      <c r="F1070" s="1707"/>
      <c r="G1070" s="1707"/>
      <c r="H1070" s="1707"/>
      <c r="I1070" s="1707"/>
      <c r="J1070" s="1707"/>
      <c r="K1070" s="1707"/>
      <c r="L1070" s="1704"/>
      <c r="M1070" s="1704"/>
    </row>
    <row r="1071" spans="5:13" ht="15">
      <c r="E1071" s="1645"/>
      <c r="F1071" s="1707"/>
      <c r="G1071" s="1707"/>
      <c r="H1071" s="1707"/>
      <c r="I1071" s="1707"/>
      <c r="J1071" s="1707"/>
      <c r="K1071" s="1707"/>
      <c r="L1071" s="1704"/>
      <c r="M1071" s="1704"/>
    </row>
    <row r="1072" spans="5:13" ht="15">
      <c r="E1072" s="1645"/>
      <c r="F1072" s="1707"/>
      <c r="G1072" s="1707"/>
      <c r="H1072" s="1707"/>
      <c r="I1072" s="1707"/>
      <c r="J1072" s="1707"/>
      <c r="K1072" s="1707"/>
      <c r="L1072" s="1704"/>
      <c r="M1072" s="1704"/>
    </row>
    <row r="1073" spans="5:13" ht="15">
      <c r="E1073" s="1645"/>
      <c r="F1073" s="1707"/>
      <c r="G1073" s="1707"/>
      <c r="H1073" s="1707"/>
      <c r="I1073" s="1707"/>
      <c r="J1073" s="1707"/>
      <c r="K1073" s="1707"/>
      <c r="L1073" s="1704"/>
      <c r="M1073" s="1704"/>
    </row>
    <row r="1074" spans="5:13" ht="15">
      <c r="E1074" s="1645"/>
      <c r="F1074" s="1707"/>
      <c r="G1074" s="1707"/>
      <c r="H1074" s="1707"/>
      <c r="I1074" s="1707"/>
      <c r="J1074" s="1707"/>
      <c r="K1074" s="1707"/>
      <c r="L1074" s="1704"/>
      <c r="M1074" s="1704"/>
    </row>
    <row r="1075" spans="5:13" ht="15">
      <c r="E1075" s="1645"/>
      <c r="F1075" s="1707"/>
      <c r="G1075" s="1707"/>
      <c r="H1075" s="1707"/>
      <c r="I1075" s="1707"/>
      <c r="J1075" s="1707"/>
      <c r="K1075" s="1707"/>
      <c r="L1075" s="1704"/>
      <c r="M1075" s="1704"/>
    </row>
    <row r="1076" spans="5:13" ht="15">
      <c r="E1076" s="1645"/>
      <c r="F1076" s="1707"/>
      <c r="G1076" s="1707"/>
      <c r="H1076" s="1707"/>
      <c r="I1076" s="1707"/>
      <c r="J1076" s="1707"/>
      <c r="K1076" s="1707"/>
      <c r="L1076" s="1704"/>
      <c r="M1076" s="1704"/>
    </row>
    <row r="1077" spans="5:13" ht="15">
      <c r="E1077" s="1645"/>
      <c r="F1077" s="1707"/>
      <c r="G1077" s="1707"/>
      <c r="H1077" s="1707"/>
      <c r="I1077" s="1707"/>
      <c r="J1077" s="1707"/>
      <c r="K1077" s="1707"/>
      <c r="L1077" s="1704"/>
      <c r="M1077" s="1704"/>
    </row>
    <row r="1078" spans="5:13" ht="15">
      <c r="E1078" s="1645"/>
      <c r="F1078" s="1707"/>
      <c r="G1078" s="1707"/>
      <c r="H1078" s="1707"/>
      <c r="I1078" s="1707"/>
      <c r="J1078" s="1707"/>
      <c r="K1078" s="1707"/>
      <c r="L1078" s="1704"/>
      <c r="M1078" s="1704"/>
    </row>
    <row r="1079" spans="5:13" ht="15">
      <c r="E1079" s="1645"/>
      <c r="F1079" s="1707"/>
      <c r="G1079" s="1707"/>
      <c r="H1079" s="1707"/>
      <c r="I1079" s="1707"/>
      <c r="J1079" s="1707"/>
      <c r="K1079" s="1707"/>
      <c r="L1079" s="1704"/>
      <c r="M1079" s="1704"/>
    </row>
    <row r="1080" spans="5:13" ht="15">
      <c r="E1080" s="1645"/>
      <c r="F1080" s="1707"/>
      <c r="G1080" s="1707"/>
      <c r="H1080" s="1707"/>
      <c r="I1080" s="1707"/>
      <c r="J1080" s="1707"/>
      <c r="K1080" s="1707"/>
      <c r="L1080" s="1704"/>
      <c r="M1080" s="1704"/>
    </row>
    <row r="1081" spans="5:13" ht="15">
      <c r="E1081" s="1645"/>
      <c r="F1081" s="1707"/>
      <c r="G1081" s="1707"/>
      <c r="H1081" s="1707"/>
      <c r="I1081" s="1707"/>
      <c r="J1081" s="1707"/>
      <c r="K1081" s="1707"/>
      <c r="L1081" s="1704"/>
      <c r="M1081" s="1704"/>
    </row>
    <row r="1082" spans="5:13" ht="15">
      <c r="E1082" s="1645"/>
      <c r="F1082" s="1707"/>
      <c r="G1082" s="1707"/>
      <c r="H1082" s="1707"/>
      <c r="I1082" s="1707"/>
      <c r="J1082" s="1707"/>
      <c r="K1082" s="1707"/>
      <c r="L1082" s="1704"/>
      <c r="M1082" s="1704"/>
    </row>
    <row r="1083" spans="5:13" ht="15">
      <c r="E1083" s="1645"/>
      <c r="F1083" s="1707"/>
      <c r="G1083" s="1707"/>
      <c r="H1083" s="1707"/>
      <c r="I1083" s="1707"/>
      <c r="J1083" s="1707"/>
      <c r="K1083" s="1707"/>
      <c r="L1083" s="1704"/>
      <c r="M1083" s="1704"/>
    </row>
    <row r="1084" spans="5:13" ht="15">
      <c r="E1084" s="1645"/>
      <c r="F1084" s="1707"/>
      <c r="G1084" s="1707"/>
      <c r="H1084" s="1707"/>
      <c r="I1084" s="1707"/>
      <c r="J1084" s="1707"/>
      <c r="K1084" s="1707"/>
      <c r="L1084" s="1704"/>
      <c r="M1084" s="1704"/>
    </row>
    <row r="1085" spans="5:13" ht="15">
      <c r="E1085" s="1645"/>
      <c r="F1085" s="1707"/>
      <c r="G1085" s="1707"/>
      <c r="H1085" s="1707"/>
      <c r="I1085" s="1707"/>
      <c r="J1085" s="1707"/>
      <c r="K1085" s="1707"/>
      <c r="L1085" s="1704"/>
      <c r="M1085" s="1704"/>
    </row>
    <row r="1086" spans="5:13" ht="15">
      <c r="E1086" s="1645"/>
      <c r="F1086" s="1707"/>
      <c r="G1086" s="1707"/>
      <c r="H1086" s="1707"/>
      <c r="I1086" s="1707"/>
      <c r="J1086" s="1707"/>
      <c r="K1086" s="1707"/>
      <c r="L1086" s="1704"/>
      <c r="M1086" s="1704"/>
    </row>
    <row r="1087" spans="5:13" ht="15">
      <c r="E1087" s="1645"/>
      <c r="F1087" s="1707"/>
      <c r="G1087" s="1707"/>
      <c r="H1087" s="1707"/>
      <c r="I1087" s="1707"/>
      <c r="J1087" s="1707"/>
      <c r="K1087" s="1707"/>
      <c r="L1087" s="1704"/>
      <c r="M1087" s="1704"/>
    </row>
    <row r="1088" spans="5:13" ht="15">
      <c r="E1088" s="1645"/>
      <c r="F1088" s="1707"/>
      <c r="G1088" s="1707"/>
      <c r="H1088" s="1707"/>
      <c r="I1088" s="1707"/>
      <c r="J1088" s="1707"/>
      <c r="K1088" s="1707"/>
      <c r="L1088" s="1704"/>
      <c r="M1088" s="1704"/>
    </row>
    <row r="1089" spans="5:13" ht="15">
      <c r="E1089" s="1645"/>
      <c r="F1089" s="1707"/>
      <c r="G1089" s="1707"/>
      <c r="H1089" s="1707"/>
      <c r="I1089" s="1707"/>
      <c r="J1089" s="1707"/>
      <c r="K1089" s="1707"/>
      <c r="L1089" s="1704"/>
      <c r="M1089" s="1704"/>
    </row>
    <row r="1090" spans="5:13" ht="15">
      <c r="E1090" s="1645"/>
      <c r="F1090" s="1707"/>
      <c r="G1090" s="1707"/>
      <c r="H1090" s="1707"/>
      <c r="I1090" s="1707"/>
      <c r="J1090" s="1707"/>
      <c r="K1090" s="1707"/>
      <c r="L1090" s="1704"/>
      <c r="M1090" s="1704"/>
    </row>
    <row r="1091" spans="5:13" ht="15">
      <c r="E1091" s="1645"/>
      <c r="F1091" s="1707"/>
      <c r="G1091" s="1707"/>
      <c r="H1091" s="1707"/>
      <c r="I1091" s="1707"/>
      <c r="J1091" s="1707"/>
      <c r="K1091" s="1707"/>
      <c r="L1091" s="1704"/>
      <c r="M1091" s="1704"/>
    </row>
    <row r="1092" spans="5:13" ht="15">
      <c r="E1092" s="1645"/>
      <c r="F1092" s="1707"/>
      <c r="G1092" s="1707"/>
      <c r="H1092" s="1707"/>
      <c r="I1092" s="1707"/>
      <c r="J1092" s="1707"/>
      <c r="K1092" s="1707"/>
      <c r="L1092" s="1704"/>
      <c r="M1092" s="1704"/>
    </row>
    <row r="1093" spans="5:13" ht="15">
      <c r="E1093" s="1645"/>
      <c r="F1093" s="1707"/>
      <c r="G1093" s="1707"/>
      <c r="H1093" s="1707"/>
      <c r="I1093" s="1707"/>
      <c r="J1093" s="1707"/>
      <c r="K1093" s="1707"/>
      <c r="L1093" s="1704"/>
      <c r="M1093" s="1704"/>
    </row>
    <row r="1094" spans="5:13" ht="15">
      <c r="E1094" s="1645"/>
      <c r="F1094" s="1707"/>
      <c r="G1094" s="1707"/>
      <c r="H1094" s="1707"/>
      <c r="I1094" s="1707"/>
      <c r="J1094" s="1707"/>
      <c r="K1094" s="1707"/>
      <c r="L1094" s="1704"/>
      <c r="M1094" s="1704"/>
    </row>
    <row r="1095" spans="5:13" ht="15">
      <c r="E1095" s="1645"/>
      <c r="F1095" s="1707"/>
      <c r="G1095" s="1707"/>
      <c r="H1095" s="1707"/>
      <c r="I1095" s="1707"/>
      <c r="J1095" s="1707"/>
      <c r="K1095" s="1707"/>
      <c r="L1095" s="1704"/>
      <c r="M1095" s="1704"/>
    </row>
    <row r="1096" spans="5:13" ht="15">
      <c r="E1096" s="1645"/>
      <c r="F1096" s="1707"/>
      <c r="G1096" s="1707"/>
      <c r="H1096" s="1707"/>
      <c r="I1096" s="1707"/>
      <c r="J1096" s="1707"/>
      <c r="K1096" s="1707"/>
      <c r="L1096" s="1704"/>
      <c r="M1096" s="1704"/>
    </row>
    <row r="1097" spans="5:13" ht="15">
      <c r="E1097" s="1645"/>
      <c r="F1097" s="1707"/>
      <c r="G1097" s="1707"/>
      <c r="H1097" s="1707"/>
      <c r="I1097" s="1707"/>
      <c r="J1097" s="1707"/>
      <c r="K1097" s="1707"/>
      <c r="L1097" s="1704"/>
      <c r="M1097" s="1704"/>
    </row>
    <row r="1098" spans="5:13" ht="15">
      <c r="E1098" s="1645"/>
      <c r="F1098" s="1707"/>
      <c r="G1098" s="1707"/>
      <c r="H1098" s="1707"/>
      <c r="I1098" s="1707"/>
      <c r="J1098" s="1707"/>
      <c r="K1098" s="1707"/>
      <c r="L1098" s="1704"/>
      <c r="M1098" s="1704"/>
    </row>
    <row r="1099" spans="5:13" ht="15">
      <c r="E1099" s="1645"/>
      <c r="F1099" s="1707"/>
      <c r="G1099" s="1707"/>
      <c r="H1099" s="1707"/>
      <c r="I1099" s="1707"/>
      <c r="J1099" s="1707"/>
      <c r="K1099" s="1707"/>
      <c r="L1099" s="1704"/>
      <c r="M1099" s="1704"/>
    </row>
    <row r="1100" spans="5:13" ht="15">
      <c r="E1100" s="1645"/>
      <c r="F1100" s="1707"/>
      <c r="G1100" s="1707"/>
      <c r="H1100" s="1707"/>
      <c r="I1100" s="1707"/>
      <c r="J1100" s="1707"/>
      <c r="K1100" s="1707"/>
      <c r="L1100" s="1704"/>
      <c r="M1100" s="1704"/>
    </row>
    <row r="1101" spans="5:13" ht="15">
      <c r="E1101" s="1645"/>
      <c r="F1101" s="1707"/>
      <c r="G1101" s="1707"/>
      <c r="H1101" s="1707"/>
      <c r="I1101" s="1707"/>
      <c r="J1101" s="1707"/>
      <c r="K1101" s="1707"/>
      <c r="L1101" s="1704"/>
      <c r="M1101" s="1704"/>
    </row>
    <row r="1102" spans="5:13" ht="15">
      <c r="E1102" s="1645"/>
      <c r="F1102" s="1707"/>
      <c r="G1102" s="1707"/>
      <c r="H1102" s="1707"/>
      <c r="I1102" s="1707"/>
      <c r="J1102" s="1707"/>
      <c r="K1102" s="1707"/>
      <c r="L1102" s="1704"/>
      <c r="M1102" s="1704"/>
    </row>
    <row r="1103" spans="5:13" ht="15">
      <c r="E1103" s="1645"/>
      <c r="F1103" s="1707"/>
      <c r="G1103" s="1707"/>
      <c r="H1103" s="1707"/>
      <c r="I1103" s="1707"/>
      <c r="J1103" s="1707"/>
      <c r="K1103" s="1707"/>
      <c r="L1103" s="1704"/>
      <c r="M1103" s="1704"/>
    </row>
    <row r="1104" spans="5:13" ht="15">
      <c r="E1104" s="1645"/>
      <c r="F1104" s="1707"/>
      <c r="G1104" s="1707"/>
      <c r="H1104" s="1707"/>
      <c r="I1104" s="1707"/>
      <c r="J1104" s="1707"/>
      <c r="K1104" s="1707"/>
      <c r="L1104" s="1704"/>
      <c r="M1104" s="1704"/>
    </row>
    <row r="1105" spans="5:13" ht="15">
      <c r="E1105" s="1645"/>
      <c r="F1105" s="1707"/>
      <c r="G1105" s="1707"/>
      <c r="H1105" s="1707"/>
      <c r="I1105" s="1707"/>
      <c r="J1105" s="1707"/>
      <c r="K1105" s="1707"/>
      <c r="L1105" s="1704"/>
      <c r="M1105" s="1704"/>
    </row>
    <row r="1106" spans="5:13" ht="15">
      <c r="E1106" s="1645"/>
      <c r="F1106" s="1707"/>
      <c r="G1106" s="1707"/>
      <c r="H1106" s="1707"/>
      <c r="I1106" s="1707"/>
      <c r="J1106" s="1707"/>
      <c r="K1106" s="1707"/>
      <c r="L1106" s="1704"/>
      <c r="M1106" s="1704"/>
    </row>
    <row r="1107" spans="5:13" ht="15">
      <c r="E1107" s="1645"/>
      <c r="F1107" s="1707"/>
      <c r="G1107" s="1707"/>
      <c r="H1107" s="1707"/>
      <c r="I1107" s="1707"/>
      <c r="J1107" s="1707"/>
      <c r="K1107" s="1707"/>
      <c r="L1107" s="1704"/>
      <c r="M1107" s="1704"/>
    </row>
    <row r="1108" spans="5:13" ht="15">
      <c r="E1108" s="1645"/>
      <c r="F1108" s="1707"/>
      <c r="G1108" s="1707"/>
      <c r="H1108" s="1707"/>
      <c r="I1108" s="1707"/>
      <c r="J1108" s="1707"/>
      <c r="K1108" s="1707"/>
      <c r="L1108" s="1704"/>
      <c r="M1108" s="1704"/>
    </row>
    <row r="1109" spans="5:13" ht="15">
      <c r="E1109" s="1645"/>
      <c r="F1109" s="1707"/>
      <c r="G1109" s="1707"/>
      <c r="H1109" s="1707"/>
      <c r="I1109" s="1707"/>
      <c r="J1109" s="1707"/>
      <c r="K1109" s="1707"/>
      <c r="L1109" s="1704"/>
      <c r="M1109" s="1704"/>
    </row>
    <row r="1110" spans="5:13" ht="15">
      <c r="E1110" s="1645"/>
      <c r="F1110" s="1707"/>
      <c r="G1110" s="1707"/>
      <c r="H1110" s="1707"/>
      <c r="I1110" s="1707"/>
      <c r="J1110" s="1707"/>
      <c r="K1110" s="1707"/>
      <c r="L1110" s="1704"/>
      <c r="M1110" s="1704"/>
    </row>
    <row r="1111" spans="5:13" ht="15">
      <c r="E1111" s="1645"/>
      <c r="F1111" s="1707"/>
      <c r="G1111" s="1707"/>
      <c r="H1111" s="1707"/>
      <c r="I1111" s="1707"/>
      <c r="J1111" s="1707"/>
      <c r="K1111" s="1707"/>
      <c r="L1111" s="1704"/>
      <c r="M1111" s="1704"/>
    </row>
    <row r="1112" spans="5:13" ht="15">
      <c r="E1112" s="1645"/>
      <c r="F1112" s="1707"/>
      <c r="G1112" s="1707"/>
      <c r="H1112" s="1707"/>
      <c r="I1112" s="1707"/>
      <c r="J1112" s="1707"/>
      <c r="K1112" s="1707"/>
      <c r="L1112" s="1704"/>
      <c r="M1112" s="1704"/>
    </row>
    <row r="1113" spans="5:13" ht="15">
      <c r="E1113" s="1645"/>
      <c r="F1113" s="1707"/>
      <c r="G1113" s="1707"/>
      <c r="H1113" s="1707"/>
      <c r="I1113" s="1707"/>
      <c r="J1113" s="1707"/>
      <c r="K1113" s="1707"/>
      <c r="L1113" s="1704"/>
      <c r="M1113" s="1704"/>
    </row>
    <row r="1114" spans="5:13" ht="15">
      <c r="E1114" s="1645"/>
      <c r="F1114" s="1707"/>
      <c r="G1114" s="1707"/>
      <c r="H1114" s="1707"/>
      <c r="I1114" s="1707"/>
      <c r="J1114" s="1707"/>
      <c r="K1114" s="1707"/>
      <c r="L1114" s="1704"/>
      <c r="M1114" s="1704"/>
    </row>
    <row r="1115" spans="5:13" ht="15">
      <c r="E1115" s="1645"/>
      <c r="F1115" s="1707"/>
      <c r="G1115" s="1707"/>
      <c r="H1115" s="1707"/>
      <c r="I1115" s="1707"/>
      <c r="J1115" s="1707"/>
      <c r="K1115" s="1707"/>
      <c r="L1115" s="1704"/>
      <c r="M1115" s="1704"/>
    </row>
    <row r="1116" spans="5:13" ht="15">
      <c r="E1116" s="1645"/>
      <c r="F1116" s="1707"/>
      <c r="G1116" s="1707"/>
      <c r="H1116" s="1707"/>
      <c r="I1116" s="1707"/>
      <c r="J1116" s="1707"/>
      <c r="K1116" s="1707"/>
      <c r="L1116" s="1704"/>
      <c r="M1116" s="1704"/>
    </row>
    <row r="1117" spans="5:13" ht="15">
      <c r="E1117" s="1645"/>
      <c r="F1117" s="1707"/>
      <c r="G1117" s="1707"/>
      <c r="H1117" s="1707"/>
      <c r="I1117" s="1707"/>
      <c r="J1117" s="1707"/>
      <c r="K1117" s="1707"/>
      <c r="L1117" s="1704"/>
      <c r="M1117" s="1704"/>
    </row>
    <row r="1118" spans="5:13" ht="15">
      <c r="E1118" s="1645"/>
      <c r="F1118" s="1707"/>
      <c r="G1118" s="1707"/>
      <c r="H1118" s="1707"/>
      <c r="I1118" s="1707"/>
      <c r="J1118" s="1707"/>
      <c r="K1118" s="1707"/>
      <c r="L1118" s="1704"/>
      <c r="M1118" s="1704"/>
    </row>
    <row r="1119" spans="5:13" ht="15">
      <c r="E1119" s="1645"/>
      <c r="F1119" s="1707"/>
      <c r="G1119" s="1707"/>
      <c r="H1119" s="1707"/>
      <c r="I1119" s="1707"/>
      <c r="J1119" s="1707"/>
      <c r="K1119" s="1707"/>
      <c r="L1119" s="1704"/>
      <c r="M1119" s="1704"/>
    </row>
    <row r="1120" spans="5:13" ht="15">
      <c r="E1120" s="1645"/>
      <c r="F1120" s="1707"/>
      <c r="G1120" s="1707"/>
      <c r="H1120" s="1707"/>
      <c r="I1120" s="1707"/>
      <c r="J1120" s="1707"/>
      <c r="K1120" s="1707"/>
      <c r="L1120" s="1704"/>
      <c r="M1120" s="1704"/>
    </row>
    <row r="1121" spans="5:13" ht="15">
      <c r="E1121" s="1645"/>
      <c r="F1121" s="1707"/>
      <c r="G1121" s="1707"/>
      <c r="H1121" s="1707"/>
      <c r="I1121" s="1707"/>
      <c r="J1121" s="1707"/>
      <c r="K1121" s="1707"/>
      <c r="L1121" s="1704"/>
      <c r="M1121" s="1704"/>
    </row>
    <row r="1122" spans="5:13" ht="15">
      <c r="E1122" s="1645"/>
      <c r="F1122" s="1707"/>
      <c r="G1122" s="1707"/>
      <c r="H1122" s="1707"/>
      <c r="I1122" s="1707"/>
      <c r="J1122" s="1707"/>
      <c r="K1122" s="1707"/>
      <c r="L1122" s="1704"/>
      <c r="M1122" s="1704"/>
    </row>
    <row r="1123" spans="5:13" ht="15">
      <c r="E1123" s="1645"/>
      <c r="F1123" s="1707"/>
      <c r="G1123" s="1707"/>
      <c r="H1123" s="1707"/>
      <c r="I1123" s="1707"/>
      <c r="J1123" s="1707"/>
      <c r="K1123" s="1707"/>
      <c r="L1123" s="1704"/>
      <c r="M1123" s="1704"/>
    </row>
    <row r="1124" spans="5:13" ht="15">
      <c r="E1124" s="1645"/>
      <c r="F1124" s="1707"/>
      <c r="G1124" s="1707"/>
      <c r="H1124" s="1707"/>
      <c r="I1124" s="1707"/>
      <c r="J1124" s="1707"/>
      <c r="K1124" s="1707"/>
      <c r="L1124" s="1704"/>
      <c r="M1124" s="1704"/>
    </row>
    <row r="1125" spans="5:13" ht="15">
      <c r="E1125" s="1645"/>
      <c r="F1125" s="1707"/>
      <c r="G1125" s="1707"/>
      <c r="H1125" s="1707"/>
      <c r="I1125" s="1707"/>
      <c r="J1125" s="1707"/>
      <c r="K1125" s="1707"/>
      <c r="L1125" s="1704"/>
      <c r="M1125" s="1704"/>
    </row>
    <row r="1126" spans="5:13" ht="15">
      <c r="E1126" s="1645"/>
      <c r="F1126" s="1707"/>
      <c r="G1126" s="1707"/>
      <c r="H1126" s="1707"/>
      <c r="I1126" s="1707"/>
      <c r="J1126" s="1707"/>
      <c r="K1126" s="1707"/>
      <c r="L1126" s="1704"/>
      <c r="M1126" s="1704"/>
    </row>
    <row r="1127" spans="5:13" ht="15">
      <c r="E1127" s="1645"/>
      <c r="F1127" s="1707"/>
      <c r="G1127" s="1707"/>
      <c r="H1127" s="1707"/>
      <c r="I1127" s="1707"/>
      <c r="J1127" s="1707"/>
      <c r="K1127" s="1707"/>
      <c r="L1127" s="1704"/>
      <c r="M1127" s="1704"/>
    </row>
    <row r="1128" spans="5:13" ht="15">
      <c r="E1128" s="1645"/>
      <c r="F1128" s="1707"/>
      <c r="G1128" s="1707"/>
      <c r="H1128" s="1707"/>
      <c r="I1128" s="1707"/>
      <c r="J1128" s="1707"/>
      <c r="K1128" s="1707"/>
      <c r="L1128" s="1704"/>
      <c r="M1128" s="1704"/>
    </row>
    <row r="1129" spans="5:13" ht="15">
      <c r="E1129" s="1645"/>
      <c r="F1129" s="1707"/>
      <c r="G1129" s="1707"/>
      <c r="H1129" s="1707"/>
      <c r="I1129" s="1707"/>
      <c r="J1129" s="1707"/>
      <c r="K1129" s="1707"/>
      <c r="L1129" s="1704"/>
      <c r="M1129" s="1704"/>
    </row>
    <row r="1130" spans="5:13" ht="15">
      <c r="E1130" s="1645"/>
      <c r="F1130" s="1707"/>
      <c r="G1130" s="1707"/>
      <c r="H1130" s="1707"/>
      <c r="I1130" s="1707"/>
      <c r="J1130" s="1707"/>
      <c r="K1130" s="1707"/>
      <c r="L1130" s="1704"/>
      <c r="M1130" s="1704"/>
    </row>
    <row r="1131" spans="5:13" ht="15">
      <c r="E1131" s="1645"/>
      <c r="F1131" s="1707"/>
      <c r="G1131" s="1707"/>
      <c r="H1131" s="1707"/>
      <c r="I1131" s="1707"/>
      <c r="J1131" s="1707"/>
      <c r="K1131" s="1707"/>
      <c r="L1131" s="1704"/>
      <c r="M1131" s="1704"/>
    </row>
    <row r="1132" spans="5:13" ht="15">
      <c r="E1132" s="1645"/>
      <c r="F1132" s="1707"/>
      <c r="G1132" s="1707"/>
      <c r="H1132" s="1707"/>
      <c r="I1132" s="1707"/>
      <c r="J1132" s="1707"/>
      <c r="K1132" s="1707"/>
      <c r="L1132" s="1704"/>
      <c r="M1132" s="1704"/>
    </row>
    <row r="1133" spans="5:13" ht="15">
      <c r="E1133" s="1645"/>
      <c r="F1133" s="1707"/>
      <c r="G1133" s="1707"/>
      <c r="H1133" s="1707"/>
      <c r="I1133" s="1707"/>
      <c r="J1133" s="1707"/>
      <c r="K1133" s="1707"/>
      <c r="L1133" s="1704"/>
      <c r="M1133" s="1704"/>
    </row>
    <row r="1134" spans="5:13" ht="15">
      <c r="E1134" s="1645"/>
      <c r="F1134" s="1707"/>
      <c r="G1134" s="1707"/>
      <c r="H1134" s="1707"/>
      <c r="I1134" s="1707"/>
      <c r="J1134" s="1707"/>
      <c r="K1134" s="1707"/>
      <c r="L1134" s="1704"/>
      <c r="M1134" s="1704"/>
    </row>
    <row r="1135" spans="5:13" ht="15">
      <c r="E1135" s="1645"/>
      <c r="F1135" s="1707"/>
      <c r="G1135" s="1707"/>
      <c r="H1135" s="1707"/>
      <c r="I1135" s="1707"/>
      <c r="J1135" s="1707"/>
      <c r="K1135" s="1707"/>
      <c r="L1135" s="1704"/>
      <c r="M1135" s="1704"/>
    </row>
    <row r="1136" spans="5:13" ht="15">
      <c r="E1136" s="1645"/>
      <c r="F1136" s="1707"/>
      <c r="G1136" s="1707"/>
      <c r="H1136" s="1707"/>
      <c r="I1136" s="1707"/>
      <c r="J1136" s="1707"/>
      <c r="K1136" s="1707"/>
      <c r="L1136" s="1704"/>
      <c r="M1136" s="1704"/>
    </row>
    <row r="1137" spans="5:13" ht="15">
      <c r="E1137" s="1645"/>
      <c r="F1137" s="1707"/>
      <c r="G1137" s="1707"/>
      <c r="H1137" s="1707"/>
      <c r="I1137" s="1707"/>
      <c r="J1137" s="1707"/>
      <c r="K1137" s="1707"/>
      <c r="L1137" s="1704"/>
      <c r="M1137" s="1704"/>
    </row>
    <row r="1138" spans="5:13" ht="15">
      <c r="E1138" s="1645"/>
      <c r="F1138" s="1707"/>
      <c r="G1138" s="1707"/>
      <c r="H1138" s="1707"/>
      <c r="I1138" s="1707"/>
      <c r="J1138" s="1707"/>
      <c r="K1138" s="1707"/>
      <c r="L1138" s="1704"/>
      <c r="M1138" s="1704"/>
    </row>
    <row r="1139" spans="5:13" ht="15">
      <c r="E1139" s="1645"/>
      <c r="F1139" s="1707"/>
      <c r="G1139" s="1707"/>
      <c r="H1139" s="1707"/>
      <c r="I1139" s="1707"/>
      <c r="J1139" s="1707"/>
      <c r="K1139" s="1707"/>
      <c r="L1139" s="1704"/>
      <c r="M1139" s="1704"/>
    </row>
    <row r="1140" spans="5:13" ht="15">
      <c r="E1140" s="1645"/>
      <c r="F1140" s="1707"/>
      <c r="G1140" s="1707"/>
      <c r="H1140" s="1707"/>
      <c r="I1140" s="1707"/>
      <c r="J1140" s="1707"/>
      <c r="K1140" s="1707"/>
      <c r="L1140" s="1704"/>
      <c r="M1140" s="1704"/>
    </row>
    <row r="1141" spans="5:13" ht="15">
      <c r="E1141" s="1645"/>
      <c r="F1141" s="1707"/>
      <c r="G1141" s="1707"/>
      <c r="H1141" s="1707"/>
      <c r="I1141" s="1707"/>
      <c r="J1141" s="1707"/>
      <c r="K1141" s="1707"/>
      <c r="L1141" s="1704"/>
      <c r="M1141" s="1704"/>
    </row>
    <row r="1142" spans="5:13" ht="15">
      <c r="E1142" s="1645"/>
      <c r="F1142" s="1707"/>
      <c r="G1142" s="1707"/>
      <c r="H1142" s="1707"/>
      <c r="I1142" s="1707"/>
      <c r="J1142" s="1707"/>
      <c r="K1142" s="1707"/>
      <c r="L1142" s="1704"/>
      <c r="M1142" s="1704"/>
    </row>
    <row r="1143" spans="5:13" ht="15">
      <c r="E1143" s="1645"/>
      <c r="F1143" s="1707"/>
      <c r="G1143" s="1707"/>
      <c r="H1143" s="1707"/>
      <c r="I1143" s="1707"/>
      <c r="J1143" s="1707"/>
      <c r="K1143" s="1707"/>
      <c r="L1143" s="1704"/>
      <c r="M1143" s="1704"/>
    </row>
    <row r="1144" spans="5:13" ht="15">
      <c r="E1144" s="1645"/>
      <c r="F1144" s="1707"/>
      <c r="G1144" s="1707"/>
      <c r="H1144" s="1707"/>
      <c r="I1144" s="1707"/>
      <c r="J1144" s="1707"/>
      <c r="K1144" s="1707"/>
      <c r="L1144" s="1704"/>
      <c r="M1144" s="1704"/>
    </row>
    <row r="1145" spans="5:13" ht="15">
      <c r="E1145" s="1645"/>
      <c r="F1145" s="1707"/>
      <c r="G1145" s="1707"/>
      <c r="H1145" s="1707"/>
      <c r="I1145" s="1707"/>
      <c r="J1145" s="1707"/>
      <c r="K1145" s="1707"/>
      <c r="L1145" s="1704"/>
      <c r="M1145" s="1704"/>
    </row>
    <row r="1146" spans="5:13" ht="15">
      <c r="E1146" s="1645"/>
      <c r="F1146" s="1707"/>
      <c r="G1146" s="1707"/>
      <c r="H1146" s="1707"/>
      <c r="I1146" s="1707"/>
      <c r="J1146" s="1707"/>
      <c r="K1146" s="1707"/>
      <c r="L1146" s="1704"/>
      <c r="M1146" s="1704"/>
    </row>
    <row r="1147" spans="5:13" ht="15">
      <c r="E1147" s="1645"/>
      <c r="F1147" s="1707"/>
      <c r="G1147" s="1707"/>
      <c r="H1147" s="1707"/>
      <c r="I1147" s="1707"/>
      <c r="J1147" s="1707"/>
      <c r="K1147" s="1707"/>
      <c r="L1147" s="1704"/>
      <c r="M1147" s="1704"/>
    </row>
    <row r="1148" spans="5:13" ht="15">
      <c r="E1148" s="1645"/>
      <c r="F1148" s="1707"/>
      <c r="G1148" s="1707"/>
      <c r="H1148" s="1707"/>
      <c r="I1148" s="1707"/>
      <c r="J1148" s="1707"/>
      <c r="K1148" s="1707"/>
      <c r="L1148" s="1704"/>
      <c r="M1148" s="1704"/>
    </row>
    <row r="1149" spans="5:13" ht="15">
      <c r="E1149" s="1645"/>
      <c r="F1149" s="1707"/>
      <c r="G1149" s="1707"/>
      <c r="H1149" s="1707"/>
      <c r="I1149" s="1707"/>
      <c r="J1149" s="1707"/>
      <c r="K1149" s="1707"/>
      <c r="L1149" s="1704"/>
      <c r="M1149" s="1704"/>
    </row>
    <row r="1150" spans="5:13" ht="15">
      <c r="E1150" s="1645"/>
      <c r="F1150" s="1707"/>
      <c r="G1150" s="1707"/>
      <c r="H1150" s="1707"/>
      <c r="I1150" s="1707"/>
      <c r="J1150" s="1707"/>
      <c r="K1150" s="1707"/>
      <c r="L1150" s="1704"/>
      <c r="M1150" s="1704"/>
    </row>
    <row r="1151" spans="5:13" ht="15">
      <c r="E1151" s="1645"/>
      <c r="F1151" s="1707"/>
      <c r="G1151" s="1707"/>
      <c r="H1151" s="1707"/>
      <c r="I1151" s="1707"/>
      <c r="J1151" s="1707"/>
      <c r="K1151" s="1707"/>
      <c r="L1151" s="1704"/>
      <c r="M1151" s="1704"/>
    </row>
    <row r="1152" spans="5:13" ht="15">
      <c r="E1152" s="1645"/>
      <c r="F1152" s="1707"/>
      <c r="G1152" s="1707"/>
      <c r="H1152" s="1707"/>
      <c r="I1152" s="1707"/>
      <c r="J1152" s="1707"/>
      <c r="K1152" s="1707"/>
      <c r="L1152" s="1704"/>
      <c r="M1152" s="1704"/>
    </row>
    <row r="1153" spans="5:13" ht="15">
      <c r="E1153" s="1645"/>
      <c r="F1153" s="1707"/>
      <c r="G1153" s="1707"/>
      <c r="H1153" s="1707"/>
      <c r="I1153" s="1707"/>
      <c r="J1153" s="1707"/>
      <c r="K1153" s="1707"/>
      <c r="L1153" s="1704"/>
      <c r="M1153" s="1704"/>
    </row>
    <row r="1154" spans="5:13" ht="15">
      <c r="E1154" s="1645"/>
      <c r="F1154" s="1707"/>
      <c r="G1154" s="1707"/>
      <c r="H1154" s="1707"/>
      <c r="I1154" s="1707"/>
      <c r="J1154" s="1707"/>
      <c r="K1154" s="1707"/>
      <c r="L1154" s="1704"/>
      <c r="M1154" s="1704"/>
    </row>
    <row r="1155" spans="5:13" ht="15">
      <c r="E1155" s="1645"/>
      <c r="F1155" s="1707"/>
      <c r="G1155" s="1707"/>
      <c r="H1155" s="1707"/>
      <c r="I1155" s="1707"/>
      <c r="J1155" s="1707"/>
      <c r="K1155" s="1707"/>
      <c r="L1155" s="1704"/>
      <c r="M1155" s="1704"/>
    </row>
    <row r="1156" spans="5:13" ht="15">
      <c r="E1156" s="1645"/>
      <c r="F1156" s="1707"/>
      <c r="G1156" s="1707"/>
      <c r="H1156" s="1707"/>
      <c r="I1156" s="1707"/>
      <c r="J1156" s="1707"/>
      <c r="K1156" s="1707"/>
      <c r="L1156" s="1704"/>
      <c r="M1156" s="1704"/>
    </row>
    <row r="1157" spans="5:13" ht="15">
      <c r="E1157" s="1645"/>
      <c r="F1157" s="1707"/>
      <c r="G1157" s="1707"/>
      <c r="H1157" s="1707"/>
      <c r="I1157" s="1707"/>
      <c r="J1157" s="1707"/>
      <c r="K1157" s="1707"/>
      <c r="L1157" s="1704"/>
      <c r="M1157" s="1704"/>
    </row>
    <row r="1158" spans="5:13" ht="15">
      <c r="E1158" s="1645"/>
      <c r="F1158" s="1707"/>
      <c r="G1158" s="1707"/>
      <c r="H1158" s="1707"/>
      <c r="I1158" s="1707"/>
      <c r="J1158" s="1707"/>
      <c r="K1158" s="1707"/>
      <c r="L1158" s="1704"/>
      <c r="M1158" s="1704"/>
    </row>
    <row r="1159" spans="5:13" ht="15">
      <c r="E1159" s="1645"/>
      <c r="F1159" s="1707"/>
      <c r="G1159" s="1707"/>
      <c r="H1159" s="1707"/>
      <c r="I1159" s="1707"/>
      <c r="J1159" s="1707"/>
      <c r="K1159" s="1707"/>
      <c r="L1159" s="1704"/>
      <c r="M1159" s="1704"/>
    </row>
    <row r="1160" spans="5:13" ht="15">
      <c r="E1160" s="1645"/>
      <c r="F1160" s="1707"/>
      <c r="G1160" s="1707"/>
      <c r="H1160" s="1707"/>
      <c r="I1160" s="1707"/>
      <c r="J1160" s="1707"/>
      <c r="K1160" s="1707"/>
      <c r="L1160" s="1704"/>
      <c r="M1160" s="1704"/>
    </row>
    <row r="1161" spans="5:13" ht="15">
      <c r="E1161" s="1645"/>
      <c r="F1161" s="1707"/>
      <c r="G1161" s="1707"/>
      <c r="H1161" s="1707"/>
      <c r="I1161" s="1707"/>
      <c r="J1161" s="1707"/>
      <c r="K1161" s="1707"/>
      <c r="L1161" s="1704"/>
      <c r="M1161" s="1704"/>
    </row>
    <row r="1162" spans="5:13" ht="15">
      <c r="E1162" s="1645"/>
      <c r="F1162" s="1707"/>
      <c r="G1162" s="1707"/>
      <c r="H1162" s="1707"/>
      <c r="I1162" s="1707"/>
      <c r="J1162" s="1707"/>
      <c r="K1162" s="1707"/>
      <c r="L1162" s="1704"/>
      <c r="M1162" s="1704"/>
    </row>
    <row r="1163" spans="5:13" ht="15">
      <c r="E1163" s="1645"/>
      <c r="F1163" s="1707"/>
      <c r="G1163" s="1707"/>
      <c r="H1163" s="1707"/>
      <c r="I1163" s="1707"/>
      <c r="J1163" s="1707"/>
      <c r="K1163" s="1707"/>
      <c r="L1163" s="1704"/>
      <c r="M1163" s="1704"/>
    </row>
    <row r="1164" spans="5:13" ht="15">
      <c r="E1164" s="1645"/>
      <c r="F1164" s="1707"/>
      <c r="G1164" s="1707"/>
      <c r="H1164" s="1707"/>
      <c r="I1164" s="1707"/>
      <c r="J1164" s="1707"/>
      <c r="K1164" s="1707"/>
      <c r="L1164" s="1704"/>
      <c r="M1164" s="1704"/>
    </row>
    <row r="1165" spans="5:13" ht="15">
      <c r="E1165" s="1645"/>
      <c r="F1165" s="1707"/>
      <c r="G1165" s="1707"/>
      <c r="H1165" s="1707"/>
      <c r="I1165" s="1707"/>
      <c r="J1165" s="1707"/>
      <c r="K1165" s="1707"/>
      <c r="L1165" s="1704"/>
      <c r="M1165" s="1704"/>
    </row>
    <row r="1166" spans="5:13" ht="15">
      <c r="E1166" s="1645"/>
      <c r="F1166" s="1707"/>
      <c r="G1166" s="1707"/>
      <c r="H1166" s="1707"/>
      <c r="I1166" s="1707"/>
      <c r="J1166" s="1707"/>
      <c r="K1166" s="1707"/>
      <c r="L1166" s="1704"/>
      <c r="M1166" s="1704"/>
    </row>
    <row r="1167" spans="5:13" ht="15">
      <c r="E1167" s="1645"/>
      <c r="F1167" s="1707"/>
      <c r="G1167" s="1707"/>
      <c r="H1167" s="1707"/>
      <c r="I1167" s="1707"/>
      <c r="J1167" s="1707"/>
      <c r="K1167" s="1707"/>
      <c r="L1167" s="1704"/>
      <c r="M1167" s="1704"/>
    </row>
    <row r="1168" spans="5:13" ht="15">
      <c r="E1168" s="1645"/>
      <c r="F1168" s="1707"/>
      <c r="G1168" s="1707"/>
      <c r="H1168" s="1707"/>
      <c r="I1168" s="1707"/>
      <c r="J1168" s="1707"/>
      <c r="K1168" s="1707"/>
      <c r="L1168" s="1704"/>
      <c r="M1168" s="1704"/>
    </row>
    <row r="1169" spans="5:13" ht="15">
      <c r="E1169" s="1645"/>
      <c r="F1169" s="1707"/>
      <c r="G1169" s="1707"/>
      <c r="H1169" s="1707"/>
      <c r="I1169" s="1707"/>
      <c r="J1169" s="1707"/>
      <c r="K1169" s="1707"/>
      <c r="L1169" s="1704"/>
      <c r="M1169" s="1704"/>
    </row>
    <row r="1170" spans="5:13" ht="15">
      <c r="E1170" s="1645"/>
      <c r="F1170" s="1707"/>
      <c r="G1170" s="1707"/>
      <c r="H1170" s="1707"/>
      <c r="I1170" s="1707"/>
      <c r="J1170" s="1707"/>
      <c r="K1170" s="1707"/>
      <c r="L1170" s="1704"/>
      <c r="M1170" s="1704"/>
    </row>
    <row r="1171" spans="5:13" ht="15">
      <c r="E1171" s="1645"/>
      <c r="F1171" s="1707"/>
      <c r="G1171" s="1707"/>
      <c r="H1171" s="1707"/>
      <c r="I1171" s="1707"/>
      <c r="J1171" s="1707"/>
      <c r="K1171" s="1707"/>
      <c r="L1171" s="1704"/>
      <c r="M1171" s="1704"/>
    </row>
    <row r="1172" spans="5:13" ht="15">
      <c r="E1172" s="1645"/>
      <c r="F1172" s="1707"/>
      <c r="G1172" s="1707"/>
      <c r="H1172" s="1707"/>
      <c r="I1172" s="1707"/>
      <c r="J1172" s="1707"/>
      <c r="K1172" s="1707"/>
      <c r="L1172" s="1704"/>
      <c r="M1172" s="1704"/>
    </row>
    <row r="1173" spans="5:13" ht="15">
      <c r="E1173" s="1645"/>
      <c r="F1173" s="1707"/>
      <c r="G1173" s="1707"/>
      <c r="H1173" s="1707"/>
      <c r="I1173" s="1707"/>
      <c r="J1173" s="1707"/>
      <c r="K1173" s="1707"/>
      <c r="L1173" s="1704"/>
      <c r="M1173" s="1704"/>
    </row>
    <row r="1174" spans="5:13" ht="15">
      <c r="E1174" s="1645"/>
      <c r="F1174" s="1707"/>
      <c r="G1174" s="1707"/>
      <c r="H1174" s="1707"/>
      <c r="I1174" s="1707"/>
      <c r="J1174" s="1707"/>
      <c r="K1174" s="1707"/>
      <c r="L1174" s="1704"/>
      <c r="M1174" s="1704"/>
    </row>
    <row r="1175" spans="5:13" ht="15">
      <c r="E1175" s="1645"/>
      <c r="F1175" s="1707"/>
      <c r="G1175" s="1707"/>
      <c r="H1175" s="1707"/>
      <c r="I1175" s="1707"/>
      <c r="J1175" s="1707"/>
      <c r="K1175" s="1707"/>
      <c r="L1175" s="1704"/>
      <c r="M1175" s="1704"/>
    </row>
    <row r="1176" spans="5:13" ht="15">
      <c r="E1176" s="1645"/>
      <c r="F1176" s="1707"/>
      <c r="G1176" s="1707"/>
      <c r="H1176" s="1707"/>
      <c r="I1176" s="1707"/>
      <c r="J1176" s="1707"/>
      <c r="K1176" s="1707"/>
      <c r="L1176" s="1704"/>
      <c r="M1176" s="1704"/>
    </row>
    <row r="1177" spans="5:13" ht="15">
      <c r="E1177" s="1645"/>
      <c r="F1177" s="1707"/>
      <c r="G1177" s="1707"/>
      <c r="H1177" s="1707"/>
      <c r="I1177" s="1707"/>
      <c r="J1177" s="1707"/>
      <c r="K1177" s="1707"/>
      <c r="L1177" s="1704"/>
      <c r="M1177" s="1704"/>
    </row>
    <row r="1178" spans="5:13" ht="15">
      <c r="E1178" s="1645"/>
      <c r="F1178" s="1707"/>
      <c r="G1178" s="1707"/>
      <c r="H1178" s="1707"/>
      <c r="I1178" s="1707"/>
      <c r="J1178" s="1707"/>
      <c r="K1178" s="1707"/>
      <c r="L1178" s="1704"/>
      <c r="M1178" s="1704"/>
    </row>
    <row r="1179" spans="5:13" ht="15">
      <c r="E1179" s="1645"/>
      <c r="F1179" s="1707"/>
      <c r="G1179" s="1707"/>
      <c r="H1179" s="1707"/>
      <c r="I1179" s="1707"/>
      <c r="J1179" s="1707"/>
      <c r="K1179" s="1707"/>
      <c r="L1179" s="1704"/>
      <c r="M1179" s="1704"/>
    </row>
    <row r="1180" spans="5:13" ht="15">
      <c r="E1180" s="1645"/>
      <c r="F1180" s="1707"/>
      <c r="G1180" s="1707"/>
      <c r="H1180" s="1707"/>
      <c r="I1180" s="1707"/>
      <c r="J1180" s="1707"/>
      <c r="K1180" s="1707"/>
      <c r="L1180" s="1704"/>
      <c r="M1180" s="1704"/>
    </row>
    <row r="1181" spans="5:13" ht="15">
      <c r="E1181" s="1645"/>
      <c r="F1181" s="1707"/>
      <c r="G1181" s="1707"/>
      <c r="H1181" s="1707"/>
      <c r="I1181" s="1707"/>
      <c r="J1181" s="1707"/>
      <c r="K1181" s="1707"/>
      <c r="L1181" s="1704"/>
      <c r="M1181" s="1704"/>
    </row>
    <row r="1182" spans="5:13" ht="15">
      <c r="E1182" s="1645"/>
      <c r="F1182" s="1707"/>
      <c r="G1182" s="1707"/>
      <c r="H1182" s="1707"/>
      <c r="I1182" s="1707"/>
      <c r="J1182" s="1707"/>
      <c r="K1182" s="1707"/>
      <c r="L1182" s="1704"/>
      <c r="M1182" s="1704"/>
    </row>
    <row r="1183" spans="5:13" ht="15">
      <c r="E1183" s="1645"/>
      <c r="F1183" s="1707"/>
      <c r="G1183" s="1707"/>
      <c r="H1183" s="1707"/>
      <c r="I1183" s="1707"/>
      <c r="J1183" s="1707"/>
      <c r="K1183" s="1707"/>
      <c r="L1183" s="1704"/>
      <c r="M1183" s="1704"/>
    </row>
    <row r="1184" spans="5:13" ht="15">
      <c r="E1184" s="1645"/>
      <c r="F1184" s="1707"/>
      <c r="G1184" s="1707"/>
      <c r="H1184" s="1707"/>
      <c r="I1184" s="1707"/>
      <c r="J1184" s="1707"/>
      <c r="K1184" s="1707"/>
      <c r="L1184" s="1704"/>
      <c r="M1184" s="1704"/>
    </row>
    <row r="1185" spans="5:13" ht="15">
      <c r="E1185" s="1645"/>
      <c r="F1185" s="1707"/>
      <c r="G1185" s="1707"/>
      <c r="H1185" s="1707"/>
      <c r="I1185" s="1707"/>
      <c r="J1185" s="1707"/>
      <c r="K1185" s="1707"/>
      <c r="L1185" s="1704"/>
      <c r="M1185" s="1704"/>
    </row>
    <row r="1186" spans="5:13" ht="15">
      <c r="E1186" s="1645"/>
      <c r="F1186" s="1707"/>
      <c r="G1186" s="1707"/>
      <c r="H1186" s="1707"/>
      <c r="I1186" s="1707"/>
      <c r="J1186" s="1707"/>
      <c r="K1186" s="1707"/>
      <c r="L1186" s="1704"/>
      <c r="M1186" s="1704"/>
    </row>
    <row r="1187" spans="5:13" ht="15">
      <c r="E1187" s="1645"/>
      <c r="F1187" s="1707"/>
      <c r="G1187" s="1707"/>
      <c r="H1187" s="1707"/>
      <c r="I1187" s="1707"/>
      <c r="J1187" s="1707"/>
      <c r="K1187" s="1707"/>
      <c r="L1187" s="1704"/>
      <c r="M1187" s="1704"/>
    </row>
    <row r="1188" spans="5:13" ht="15">
      <c r="E1188" s="1645"/>
      <c r="F1188" s="1707"/>
      <c r="G1188" s="1707"/>
      <c r="H1188" s="1707"/>
      <c r="I1188" s="1707"/>
      <c r="J1188" s="1707"/>
      <c r="K1188" s="1707"/>
      <c r="L1188" s="1704"/>
      <c r="M1188" s="1704"/>
    </row>
    <row r="1189" spans="5:13" ht="15">
      <c r="E1189" s="1645"/>
      <c r="F1189" s="1707"/>
      <c r="G1189" s="1707"/>
      <c r="H1189" s="1707"/>
      <c r="I1189" s="1707"/>
      <c r="J1189" s="1707"/>
      <c r="K1189" s="1707"/>
      <c r="L1189" s="1704"/>
      <c r="M1189" s="1704"/>
    </row>
    <row r="1190" spans="5:13" ht="15">
      <c r="E1190" s="1645"/>
      <c r="F1190" s="1707"/>
      <c r="G1190" s="1707"/>
      <c r="H1190" s="1707"/>
      <c r="I1190" s="1707"/>
      <c r="J1190" s="1707"/>
      <c r="K1190" s="1707"/>
      <c r="L1190" s="1704"/>
      <c r="M1190" s="1704"/>
    </row>
    <row r="1191" spans="5:13" ht="15">
      <c r="E1191" s="1645"/>
      <c r="F1191" s="1707"/>
      <c r="G1191" s="1707"/>
      <c r="H1191" s="1707"/>
      <c r="I1191" s="1707"/>
      <c r="J1191" s="1707"/>
      <c r="K1191" s="1707"/>
      <c r="L1191" s="1704"/>
      <c r="M1191" s="1704"/>
    </row>
    <row r="1192" spans="5:13" ht="15">
      <c r="E1192" s="1645"/>
      <c r="F1192" s="1707"/>
      <c r="G1192" s="1707"/>
      <c r="H1192" s="1707"/>
      <c r="I1192" s="1707"/>
      <c r="J1192" s="1707"/>
      <c r="K1192" s="1707"/>
      <c r="L1192" s="1704"/>
      <c r="M1192" s="1704"/>
    </row>
    <row r="1193" spans="5:13" ht="15">
      <c r="E1193" s="1645"/>
      <c r="F1193" s="1707"/>
      <c r="G1193" s="1707"/>
      <c r="H1193" s="1707"/>
      <c r="I1193" s="1707"/>
      <c r="J1193" s="1707"/>
      <c r="K1193" s="1707"/>
      <c r="L1193" s="1704"/>
      <c r="M1193" s="1704"/>
    </row>
    <row r="1194" spans="5:13" ht="15">
      <c r="E1194" s="1645"/>
      <c r="F1194" s="1707"/>
      <c r="G1194" s="1707"/>
      <c r="H1194" s="1707"/>
      <c r="I1194" s="1707"/>
      <c r="J1194" s="1707"/>
      <c r="K1194" s="1707"/>
      <c r="L1194" s="1704"/>
      <c r="M1194" s="1704"/>
    </row>
    <row r="1195" spans="5:13" ht="15">
      <c r="E1195" s="1645"/>
      <c r="F1195" s="1707"/>
      <c r="G1195" s="1707"/>
      <c r="H1195" s="1707"/>
      <c r="I1195" s="1707"/>
      <c r="J1195" s="1707"/>
      <c r="K1195" s="1707"/>
      <c r="L1195" s="1704"/>
      <c r="M1195" s="1704"/>
    </row>
    <row r="1196" spans="5:13" ht="15">
      <c r="E1196" s="1645"/>
      <c r="F1196" s="1707"/>
      <c r="G1196" s="1707"/>
      <c r="H1196" s="1707"/>
      <c r="I1196" s="1707"/>
      <c r="J1196" s="1707"/>
      <c r="K1196" s="1707"/>
      <c r="L1196" s="1704"/>
      <c r="M1196" s="1704"/>
    </row>
    <row r="1197" spans="5:13" ht="15">
      <c r="E1197" s="1645"/>
      <c r="F1197" s="1707"/>
      <c r="G1197" s="1707"/>
      <c r="H1197" s="1707"/>
      <c r="I1197" s="1707"/>
      <c r="J1197" s="1707"/>
      <c r="K1197" s="1707"/>
      <c r="L1197" s="1704"/>
      <c r="M1197" s="1704"/>
    </row>
    <row r="1198" spans="5:13" ht="15">
      <c r="E1198" s="1645"/>
      <c r="F1198" s="1707"/>
      <c r="G1198" s="1707"/>
      <c r="H1198" s="1707"/>
      <c r="I1198" s="1707"/>
      <c r="J1198" s="1707"/>
      <c r="K1198" s="1707"/>
      <c r="L1198" s="1704"/>
      <c r="M1198" s="1704"/>
    </row>
    <row r="1199" spans="5:13" ht="15">
      <c r="E1199" s="1645"/>
      <c r="F1199" s="1707"/>
      <c r="G1199" s="1707"/>
      <c r="H1199" s="1707"/>
      <c r="I1199" s="1707"/>
      <c r="J1199" s="1707"/>
      <c r="K1199" s="1707"/>
      <c r="L1199" s="1704"/>
      <c r="M1199" s="1704"/>
    </row>
    <row r="1200" spans="5:13" ht="15">
      <c r="E1200" s="1645"/>
      <c r="F1200" s="1707"/>
      <c r="G1200" s="1707"/>
      <c r="H1200" s="1707"/>
      <c r="I1200" s="1707"/>
      <c r="J1200" s="1707"/>
      <c r="K1200" s="1707"/>
      <c r="L1200" s="1704"/>
      <c r="M1200" s="1704"/>
    </row>
    <row r="1201" spans="5:13" ht="15">
      <c r="E1201" s="1645"/>
      <c r="F1201" s="1707"/>
      <c r="G1201" s="1707"/>
      <c r="H1201" s="1707"/>
      <c r="I1201" s="1707"/>
      <c r="J1201" s="1707"/>
      <c r="K1201" s="1707"/>
      <c r="L1201" s="1704"/>
      <c r="M1201" s="1704"/>
    </row>
    <row r="1202" spans="5:13" ht="15">
      <c r="E1202" s="1645"/>
      <c r="F1202" s="1707"/>
      <c r="G1202" s="1707"/>
      <c r="H1202" s="1707"/>
      <c r="I1202" s="1707"/>
      <c r="J1202" s="1707"/>
      <c r="K1202" s="1707"/>
      <c r="L1202" s="1704"/>
      <c r="M1202" s="1704"/>
    </row>
    <row r="1203" spans="5:13" ht="15">
      <c r="E1203" s="1645"/>
      <c r="F1203" s="1707"/>
      <c r="G1203" s="1707"/>
      <c r="H1203" s="1707"/>
      <c r="I1203" s="1707"/>
      <c r="J1203" s="1707"/>
      <c r="K1203" s="1707"/>
      <c r="L1203" s="1704"/>
      <c r="M1203" s="1704"/>
    </row>
    <row r="1204" spans="5:13" ht="15">
      <c r="E1204" s="1645"/>
      <c r="F1204" s="1707"/>
      <c r="G1204" s="1707"/>
      <c r="H1204" s="1707"/>
      <c r="I1204" s="1707"/>
      <c r="J1204" s="1707"/>
      <c r="K1204" s="1707"/>
      <c r="L1204" s="1704"/>
      <c r="M1204" s="1704"/>
    </row>
    <row r="1205" spans="5:13" ht="15">
      <c r="E1205" s="1645"/>
      <c r="F1205" s="1707"/>
      <c r="G1205" s="1707"/>
      <c r="H1205" s="1707"/>
      <c r="I1205" s="1707"/>
      <c r="J1205" s="1707"/>
      <c r="K1205" s="1707"/>
      <c r="L1205" s="1704"/>
      <c r="M1205" s="1704"/>
    </row>
    <row r="1206" spans="5:13" ht="15">
      <c r="E1206" s="1645"/>
      <c r="F1206" s="1707"/>
      <c r="G1206" s="1707"/>
      <c r="H1206" s="1707"/>
      <c r="I1206" s="1707"/>
      <c r="J1206" s="1707"/>
      <c r="K1206" s="1707"/>
      <c r="L1206" s="1704"/>
      <c r="M1206" s="1704"/>
    </row>
    <row r="1207" spans="5:13" ht="15">
      <c r="E1207" s="1645"/>
      <c r="F1207" s="1707"/>
      <c r="G1207" s="1707"/>
      <c r="H1207" s="1707"/>
      <c r="I1207" s="1707"/>
      <c r="J1207" s="1707"/>
      <c r="K1207" s="1707"/>
      <c r="L1207" s="1704"/>
      <c r="M1207" s="1704"/>
    </row>
    <row r="1208" spans="5:13" ht="15">
      <c r="E1208" s="1645"/>
      <c r="F1208" s="1707"/>
      <c r="G1208" s="1707"/>
      <c r="H1208" s="1707"/>
      <c r="I1208" s="1707"/>
      <c r="J1208" s="1707"/>
      <c r="K1208" s="1707"/>
      <c r="L1208" s="1704"/>
      <c r="M1208" s="1704"/>
    </row>
    <row r="1209" spans="5:13" ht="15">
      <c r="E1209" s="1645"/>
      <c r="F1209" s="1707"/>
      <c r="G1209" s="1707"/>
      <c r="H1209" s="1707"/>
      <c r="I1209" s="1707"/>
      <c r="J1209" s="1707"/>
      <c r="K1209" s="1707"/>
      <c r="L1209" s="1704"/>
      <c r="M1209" s="1704"/>
    </row>
    <row r="1210" spans="5:13" ht="15">
      <c r="E1210" s="1645"/>
      <c r="F1210" s="1707"/>
      <c r="G1210" s="1707"/>
      <c r="H1210" s="1707"/>
      <c r="I1210" s="1707"/>
      <c r="J1210" s="1707"/>
      <c r="K1210" s="1707"/>
      <c r="L1210" s="1704"/>
      <c r="M1210" s="1704"/>
    </row>
    <row r="1211" spans="5:13" ht="15">
      <c r="E1211" s="1645"/>
      <c r="F1211" s="1707"/>
      <c r="G1211" s="1707"/>
      <c r="H1211" s="1707"/>
      <c r="I1211" s="1707"/>
      <c r="J1211" s="1707"/>
      <c r="K1211" s="1707"/>
      <c r="L1211" s="1704"/>
      <c r="M1211" s="1704"/>
    </row>
    <row r="1212" spans="5:13" ht="15">
      <c r="E1212" s="1645"/>
      <c r="F1212" s="1707"/>
      <c r="G1212" s="1707"/>
      <c r="H1212" s="1707"/>
      <c r="I1212" s="1707"/>
      <c r="J1212" s="1707"/>
      <c r="K1212" s="1707"/>
      <c r="L1212" s="1704"/>
      <c r="M1212" s="1704"/>
    </row>
    <row r="1213" spans="5:13" ht="15">
      <c r="E1213" s="1645"/>
      <c r="F1213" s="1707"/>
      <c r="G1213" s="1707"/>
      <c r="H1213" s="1707"/>
      <c r="I1213" s="1707"/>
      <c r="J1213" s="1707"/>
      <c r="K1213" s="1707"/>
      <c r="L1213" s="1704"/>
      <c r="M1213" s="1704"/>
    </row>
    <row r="1214" spans="5:13" ht="15">
      <c r="E1214" s="1645"/>
      <c r="F1214" s="1707"/>
      <c r="G1214" s="1707"/>
      <c r="H1214" s="1707"/>
      <c r="I1214" s="1707"/>
      <c r="J1214" s="1707"/>
      <c r="K1214" s="1707"/>
      <c r="L1214" s="1704"/>
      <c r="M1214" s="1704"/>
    </row>
    <row r="1215" spans="5:13" ht="15">
      <c r="E1215" s="1645"/>
      <c r="F1215" s="1707"/>
      <c r="G1215" s="1707"/>
      <c r="H1215" s="1707"/>
      <c r="I1215" s="1707"/>
      <c r="J1215" s="1707"/>
      <c r="K1215" s="1707"/>
      <c r="L1215" s="1704"/>
      <c r="M1215" s="1704"/>
    </row>
    <row r="1216" spans="5:13" ht="15">
      <c r="E1216" s="1645"/>
      <c r="F1216" s="1707"/>
      <c r="G1216" s="1707"/>
      <c r="H1216" s="1707"/>
      <c r="I1216" s="1707"/>
      <c r="J1216" s="1707"/>
      <c r="K1216" s="1707"/>
      <c r="L1216" s="1704"/>
      <c r="M1216" s="1704"/>
    </row>
    <row r="1217" spans="5:13" ht="15">
      <c r="E1217" s="1645"/>
      <c r="F1217" s="1707"/>
      <c r="G1217" s="1707"/>
      <c r="H1217" s="1707"/>
      <c r="I1217" s="1707"/>
      <c r="J1217" s="1707"/>
      <c r="K1217" s="1707"/>
      <c r="L1217" s="1704"/>
      <c r="M1217" s="1704"/>
    </row>
    <row r="1218" spans="5:13" ht="15">
      <c r="E1218" s="1645"/>
      <c r="F1218" s="1707"/>
      <c r="G1218" s="1707"/>
      <c r="H1218" s="1707"/>
      <c r="I1218" s="1707"/>
      <c r="J1218" s="1707"/>
      <c r="K1218" s="1707"/>
      <c r="L1218" s="1704"/>
      <c r="M1218" s="1704"/>
    </row>
    <row r="1219" spans="5:13" ht="15">
      <c r="E1219" s="1645"/>
      <c r="F1219" s="1707"/>
      <c r="G1219" s="1707"/>
      <c r="H1219" s="1707"/>
      <c r="I1219" s="1707"/>
      <c r="J1219" s="1707"/>
      <c r="K1219" s="1707"/>
      <c r="L1219" s="1704"/>
      <c r="M1219" s="1704"/>
    </row>
    <row r="1220" spans="5:13" ht="15">
      <c r="E1220" s="1645"/>
      <c r="F1220" s="1707"/>
      <c r="G1220" s="1707"/>
      <c r="H1220" s="1707"/>
      <c r="I1220" s="1707"/>
      <c r="J1220" s="1707"/>
      <c r="K1220" s="1707"/>
      <c r="L1220" s="1704"/>
      <c r="M1220" s="1704"/>
    </row>
    <row r="1221" spans="5:13" ht="15">
      <c r="E1221" s="1645"/>
      <c r="F1221" s="1707"/>
      <c r="G1221" s="1707"/>
      <c r="H1221" s="1707"/>
      <c r="I1221" s="1707"/>
      <c r="J1221" s="1707"/>
      <c r="K1221" s="1707"/>
      <c r="L1221" s="1704"/>
      <c r="M1221" s="1704"/>
    </row>
    <row r="1222" spans="5:13" ht="15">
      <c r="E1222" s="1645"/>
      <c r="F1222" s="1707"/>
      <c r="G1222" s="1707"/>
      <c r="H1222" s="1707"/>
      <c r="I1222" s="1707"/>
      <c r="J1222" s="1707"/>
      <c r="K1222" s="1707"/>
      <c r="L1222" s="1704"/>
      <c r="M1222" s="1704"/>
    </row>
    <row r="1223" spans="5:13" ht="15">
      <c r="E1223" s="1645"/>
      <c r="F1223" s="1707"/>
      <c r="G1223" s="1707"/>
      <c r="H1223" s="1707"/>
      <c r="I1223" s="1707"/>
      <c r="J1223" s="1707"/>
      <c r="K1223" s="1707"/>
      <c r="L1223" s="1704"/>
      <c r="M1223" s="1704"/>
    </row>
    <row r="1224" spans="5:13" ht="15">
      <c r="E1224" s="1645"/>
      <c r="F1224" s="1707"/>
      <c r="G1224" s="1707"/>
      <c r="H1224" s="1707"/>
      <c r="I1224" s="1707"/>
      <c r="J1224" s="1707"/>
      <c r="K1224" s="1707"/>
      <c r="L1224" s="1704"/>
      <c r="M1224" s="1704"/>
    </row>
    <row r="1225" spans="5:13" ht="15">
      <c r="E1225" s="1645"/>
      <c r="F1225" s="1707"/>
      <c r="G1225" s="1707"/>
      <c r="H1225" s="1707"/>
      <c r="I1225" s="1707"/>
      <c r="J1225" s="1707"/>
      <c r="K1225" s="1707"/>
      <c r="L1225" s="1704"/>
      <c r="M1225" s="1704"/>
    </row>
    <row r="1226" spans="5:13" ht="15">
      <c r="E1226" s="1645"/>
      <c r="F1226" s="1707"/>
      <c r="G1226" s="1707"/>
      <c r="H1226" s="1707"/>
      <c r="I1226" s="1707"/>
      <c r="J1226" s="1707"/>
      <c r="K1226" s="1707"/>
      <c r="L1226" s="1704"/>
      <c r="M1226" s="1704"/>
    </row>
    <row r="1227" spans="5:13" ht="15">
      <c r="E1227" s="1645"/>
      <c r="F1227" s="1707"/>
      <c r="G1227" s="1707"/>
      <c r="H1227" s="1707"/>
      <c r="I1227" s="1707"/>
      <c r="J1227" s="1707"/>
      <c r="K1227" s="1707"/>
      <c r="L1227" s="1704"/>
      <c r="M1227" s="1704"/>
    </row>
    <row r="1228" spans="5:13" ht="15">
      <c r="E1228" s="1645"/>
      <c r="F1228" s="1707"/>
      <c r="G1228" s="1707"/>
      <c r="H1228" s="1707"/>
      <c r="I1228" s="1707"/>
      <c r="J1228" s="1707"/>
      <c r="K1228" s="1707"/>
      <c r="L1228" s="1704"/>
      <c r="M1228" s="1704"/>
    </row>
    <row r="1229" spans="5:13" ht="15">
      <c r="E1229" s="1645"/>
      <c r="F1229" s="1707"/>
      <c r="G1229" s="1707"/>
      <c r="H1229" s="1707"/>
      <c r="I1229" s="1707"/>
      <c r="J1229" s="1707"/>
      <c r="K1229" s="1707"/>
      <c r="L1229" s="1704"/>
      <c r="M1229" s="1704"/>
    </row>
    <row r="1230" spans="5:13" ht="15">
      <c r="E1230" s="1645"/>
      <c r="F1230" s="1707"/>
      <c r="G1230" s="1707"/>
      <c r="H1230" s="1707"/>
      <c r="I1230" s="1707"/>
      <c r="J1230" s="1707"/>
      <c r="K1230" s="1707"/>
      <c r="L1230" s="1704"/>
      <c r="M1230" s="1704"/>
    </row>
    <row r="1231" spans="5:13" ht="15">
      <c r="E1231" s="1645"/>
      <c r="F1231" s="1707"/>
      <c r="G1231" s="1707"/>
      <c r="H1231" s="1707"/>
      <c r="I1231" s="1707"/>
      <c r="J1231" s="1707"/>
      <c r="K1231" s="1707"/>
      <c r="L1231" s="1704"/>
      <c r="M1231" s="1704"/>
    </row>
    <row r="1232" spans="5:13" ht="15">
      <c r="E1232" s="1645"/>
      <c r="F1232" s="1707"/>
      <c r="G1232" s="1707"/>
      <c r="H1232" s="1707"/>
      <c r="I1232" s="1707"/>
      <c r="J1232" s="1707"/>
      <c r="K1232" s="1707"/>
      <c r="L1232" s="1704"/>
      <c r="M1232" s="1704"/>
    </row>
    <row r="1233" spans="5:13" ht="15">
      <c r="E1233" s="1645"/>
      <c r="F1233" s="1707"/>
      <c r="G1233" s="1707"/>
      <c r="H1233" s="1707"/>
      <c r="I1233" s="1707"/>
      <c r="J1233" s="1707"/>
      <c r="K1233" s="1707"/>
      <c r="L1233" s="1704"/>
      <c r="M1233" s="1704"/>
    </row>
    <row r="1234" spans="5:13" ht="15">
      <c r="E1234" s="1645"/>
      <c r="F1234" s="1707"/>
      <c r="G1234" s="1707"/>
      <c r="H1234" s="1707"/>
      <c r="I1234" s="1707"/>
      <c r="J1234" s="1707"/>
      <c r="K1234" s="1707"/>
      <c r="L1234" s="1704"/>
      <c r="M1234" s="1704"/>
    </row>
    <row r="1235" spans="5:13" ht="15">
      <c r="E1235" s="1645"/>
      <c r="F1235" s="1707"/>
      <c r="G1235" s="1707"/>
      <c r="H1235" s="1707"/>
      <c r="I1235" s="1707"/>
      <c r="J1235" s="1707"/>
      <c r="K1235" s="1707"/>
      <c r="L1235" s="1704"/>
      <c r="M1235" s="1704"/>
    </row>
    <row r="1236" spans="5:13" ht="15">
      <c r="E1236" s="1645"/>
      <c r="F1236" s="1707"/>
      <c r="G1236" s="1707"/>
      <c r="H1236" s="1707"/>
      <c r="I1236" s="1707"/>
      <c r="J1236" s="1707"/>
      <c r="K1236" s="1707"/>
      <c r="L1236" s="1704"/>
      <c r="M1236" s="1704"/>
    </row>
    <row r="1237" spans="5:13" ht="15">
      <c r="E1237" s="1645"/>
      <c r="F1237" s="1707"/>
      <c r="G1237" s="1707"/>
      <c r="H1237" s="1707"/>
      <c r="I1237" s="1707"/>
      <c r="J1237" s="1707"/>
      <c r="K1237" s="1707"/>
      <c r="L1237" s="1704"/>
      <c r="M1237" s="1704"/>
    </row>
    <row r="1238" spans="5:13" ht="15">
      <c r="E1238" s="1645"/>
      <c r="F1238" s="1707"/>
      <c r="G1238" s="1707"/>
      <c r="H1238" s="1707"/>
      <c r="I1238" s="1707"/>
      <c r="J1238" s="1707"/>
      <c r="K1238" s="1707"/>
      <c r="L1238" s="1704"/>
      <c r="M1238" s="1704"/>
    </row>
    <row r="1239" spans="5:13" ht="15">
      <c r="E1239" s="1645"/>
      <c r="F1239" s="1707"/>
      <c r="G1239" s="1707"/>
      <c r="H1239" s="1707"/>
      <c r="I1239" s="1707"/>
      <c r="J1239" s="1707"/>
      <c r="K1239" s="1707"/>
      <c r="L1239" s="1704"/>
      <c r="M1239" s="1704"/>
    </row>
    <row r="1240" spans="5:13" ht="15">
      <c r="E1240" s="1645"/>
      <c r="F1240" s="1707"/>
      <c r="G1240" s="1707"/>
      <c r="H1240" s="1707"/>
      <c r="I1240" s="1707"/>
      <c r="J1240" s="1707"/>
      <c r="K1240" s="1707"/>
      <c r="L1240" s="1704"/>
      <c r="M1240" s="1704"/>
    </row>
    <row r="1241" spans="5:13" ht="15">
      <c r="E1241" s="1645"/>
      <c r="F1241" s="1707"/>
      <c r="G1241" s="1707"/>
      <c r="H1241" s="1707"/>
      <c r="I1241" s="1707"/>
      <c r="J1241" s="1707"/>
      <c r="K1241" s="1707"/>
      <c r="L1241" s="1704"/>
      <c r="M1241" s="1704"/>
    </row>
    <row r="1242" spans="5:13" ht="15">
      <c r="E1242" s="1645"/>
      <c r="F1242" s="1707"/>
      <c r="G1242" s="1707"/>
      <c r="H1242" s="1707"/>
      <c r="I1242" s="1707"/>
      <c r="J1242" s="1707"/>
      <c r="K1242" s="1707"/>
      <c r="L1242" s="1704"/>
      <c r="M1242" s="1704"/>
    </row>
    <row r="1243" spans="5:13" ht="15">
      <c r="E1243" s="1645"/>
      <c r="F1243" s="1707"/>
      <c r="G1243" s="1707"/>
      <c r="H1243" s="1707"/>
      <c r="I1243" s="1707"/>
      <c r="J1243" s="1707"/>
      <c r="K1243" s="1707"/>
      <c r="L1243" s="1704"/>
      <c r="M1243" s="1704"/>
    </row>
    <row r="1244" spans="5:13" ht="15">
      <c r="E1244" s="1645"/>
      <c r="F1244" s="1707"/>
      <c r="G1244" s="1707"/>
      <c r="H1244" s="1707"/>
      <c r="I1244" s="1707"/>
      <c r="J1244" s="1707"/>
      <c r="K1244" s="1707"/>
      <c r="L1244" s="1704"/>
      <c r="M1244" s="1704"/>
    </row>
    <row r="1245" spans="5:13" ht="15">
      <c r="E1245" s="1645"/>
      <c r="F1245" s="1707"/>
      <c r="G1245" s="1707"/>
      <c r="H1245" s="1707"/>
      <c r="I1245" s="1707"/>
      <c r="J1245" s="1707"/>
      <c r="K1245" s="1707"/>
      <c r="L1245" s="1704"/>
      <c r="M1245" s="1704"/>
    </row>
    <row r="1246" spans="5:13" ht="15">
      <c r="E1246" s="1645"/>
      <c r="F1246" s="1707"/>
      <c r="G1246" s="1707"/>
      <c r="H1246" s="1707"/>
      <c r="I1246" s="1707"/>
      <c r="J1246" s="1707"/>
      <c r="K1246" s="1707"/>
      <c r="L1246" s="1704"/>
      <c r="M1246" s="1704"/>
    </row>
    <row r="1247" spans="5:13" ht="15">
      <c r="E1247" s="1645"/>
      <c r="F1247" s="1707"/>
      <c r="G1247" s="1707"/>
      <c r="H1247" s="1707"/>
      <c r="I1247" s="1707"/>
      <c r="J1247" s="1707"/>
      <c r="K1247" s="1707"/>
      <c r="L1247" s="1704"/>
      <c r="M1247" s="1704"/>
    </row>
    <row r="1248" spans="5:13" ht="15">
      <c r="E1248" s="1645"/>
      <c r="F1248" s="1707"/>
      <c r="G1248" s="1707"/>
      <c r="H1248" s="1707"/>
      <c r="I1248" s="1707"/>
      <c r="J1248" s="1707"/>
      <c r="K1248" s="1707"/>
      <c r="L1248" s="1704"/>
      <c r="M1248" s="1704"/>
    </row>
    <row r="1249" spans="5:13" ht="15">
      <c r="E1249" s="1645"/>
      <c r="F1249" s="1707"/>
      <c r="G1249" s="1707"/>
      <c r="H1249" s="1707"/>
      <c r="I1249" s="1707"/>
      <c r="J1249" s="1707"/>
      <c r="K1249" s="1707"/>
      <c r="L1249" s="1704"/>
      <c r="M1249" s="1704"/>
    </row>
    <row r="1250" spans="5:13" ht="15">
      <c r="E1250" s="1645"/>
      <c r="F1250" s="1707"/>
      <c r="G1250" s="1707"/>
      <c r="H1250" s="1707"/>
      <c r="I1250" s="1707"/>
      <c r="J1250" s="1707"/>
      <c r="K1250" s="1707"/>
      <c r="L1250" s="1704"/>
      <c r="M1250" s="1704"/>
    </row>
    <row r="1251" spans="5:13" ht="15">
      <c r="E1251" s="1645"/>
      <c r="F1251" s="1707"/>
      <c r="G1251" s="1707"/>
      <c r="H1251" s="1707"/>
      <c r="I1251" s="1707"/>
      <c r="J1251" s="1707"/>
      <c r="K1251" s="1707"/>
      <c r="L1251" s="1704"/>
      <c r="M1251" s="1704"/>
    </row>
    <row r="1252" spans="5:13" ht="15">
      <c r="E1252" s="1645"/>
      <c r="F1252" s="1707"/>
      <c r="G1252" s="1707"/>
      <c r="H1252" s="1707"/>
      <c r="I1252" s="1707"/>
      <c r="J1252" s="1707"/>
      <c r="K1252" s="1707"/>
      <c r="L1252" s="1704"/>
      <c r="M1252" s="1704"/>
    </row>
    <row r="1253" spans="5:13" ht="15">
      <c r="E1253" s="1645"/>
      <c r="F1253" s="1707"/>
      <c r="G1253" s="1707"/>
      <c r="H1253" s="1707"/>
      <c r="I1253" s="1707"/>
      <c r="J1253" s="1707"/>
      <c r="K1253" s="1707"/>
      <c r="L1253" s="1704"/>
      <c r="M1253" s="1704"/>
    </row>
    <row r="1254" spans="5:13" ht="15">
      <c r="E1254" s="1645"/>
      <c r="F1254" s="1707"/>
      <c r="G1254" s="1707"/>
      <c r="H1254" s="1707"/>
      <c r="I1254" s="1707"/>
      <c r="J1254" s="1707"/>
      <c r="K1254" s="1707"/>
      <c r="L1254" s="1704"/>
      <c r="M1254" s="1704"/>
    </row>
    <row r="1255" spans="5:13" ht="15">
      <c r="E1255" s="1645"/>
      <c r="F1255" s="1707"/>
      <c r="G1255" s="1707"/>
      <c r="H1255" s="1707"/>
      <c r="I1255" s="1707"/>
      <c r="J1255" s="1707"/>
      <c r="K1255" s="1707"/>
      <c r="L1255" s="1704"/>
      <c r="M1255" s="1704"/>
    </row>
    <row r="1256" spans="5:13" ht="15">
      <c r="E1256" s="1645"/>
      <c r="F1256" s="1707"/>
      <c r="G1256" s="1707"/>
      <c r="H1256" s="1707"/>
      <c r="I1256" s="1707"/>
      <c r="J1256" s="1707"/>
      <c r="K1256" s="1707"/>
      <c r="L1256" s="1704"/>
      <c r="M1256" s="1704"/>
    </row>
    <row r="1257" spans="5:13" ht="15">
      <c r="E1257" s="1645"/>
      <c r="F1257" s="1707"/>
      <c r="G1257" s="1707"/>
      <c r="H1257" s="1707"/>
      <c r="I1257" s="1707"/>
      <c r="J1257" s="1707"/>
      <c r="K1257" s="1707"/>
      <c r="L1257" s="1704"/>
      <c r="M1257" s="1704"/>
    </row>
    <row r="1258" spans="5:13" ht="15">
      <c r="E1258" s="1645"/>
      <c r="F1258" s="1707"/>
      <c r="G1258" s="1707"/>
      <c r="H1258" s="1707"/>
      <c r="I1258" s="1707"/>
      <c r="J1258" s="1707"/>
      <c r="K1258" s="1707"/>
      <c r="L1258" s="1704"/>
      <c r="M1258" s="1704"/>
    </row>
    <row r="1259" spans="5:13" ht="15">
      <c r="E1259" s="1645"/>
      <c r="F1259" s="1707"/>
      <c r="G1259" s="1707"/>
      <c r="H1259" s="1707"/>
      <c r="I1259" s="1707"/>
      <c r="J1259" s="1707"/>
      <c r="K1259" s="1707"/>
      <c r="L1259" s="1704"/>
      <c r="M1259" s="1704"/>
    </row>
    <row r="1260" spans="5:13" ht="15">
      <c r="E1260" s="1645"/>
      <c r="F1260" s="1707"/>
      <c r="G1260" s="1707"/>
      <c r="H1260" s="1707"/>
      <c r="I1260" s="1707"/>
      <c r="J1260" s="1707"/>
      <c r="K1260" s="1707"/>
      <c r="L1260" s="1704"/>
      <c r="M1260" s="1704"/>
    </row>
    <row r="1261" spans="5:13" ht="15">
      <c r="E1261" s="1645"/>
      <c r="F1261" s="1707"/>
      <c r="G1261" s="1707"/>
      <c r="H1261" s="1707"/>
      <c r="I1261" s="1707"/>
      <c r="J1261" s="1707"/>
      <c r="K1261" s="1707"/>
      <c r="L1261" s="1704"/>
      <c r="M1261" s="1704"/>
    </row>
    <row r="1262" spans="5:13" ht="15">
      <c r="E1262" s="1645"/>
      <c r="F1262" s="1707"/>
      <c r="G1262" s="1707"/>
      <c r="H1262" s="1707"/>
      <c r="I1262" s="1707"/>
      <c r="J1262" s="1707"/>
      <c r="K1262" s="1707"/>
      <c r="L1262" s="1704"/>
      <c r="M1262" s="1704"/>
    </row>
    <row r="1263" spans="5:13" ht="15">
      <c r="E1263" s="1645"/>
      <c r="F1263" s="1707"/>
      <c r="G1263" s="1707"/>
      <c r="H1263" s="1707"/>
      <c r="I1263" s="1707"/>
      <c r="J1263" s="1707"/>
      <c r="K1263" s="1707"/>
      <c r="L1263" s="1704"/>
      <c r="M1263" s="1704"/>
    </row>
    <row r="1264" spans="5:13" ht="15">
      <c r="E1264" s="1645"/>
      <c r="F1264" s="1707"/>
      <c r="G1264" s="1707"/>
      <c r="H1264" s="1707"/>
      <c r="I1264" s="1707"/>
      <c r="J1264" s="1707"/>
      <c r="K1264" s="1707"/>
      <c r="L1264" s="1704"/>
      <c r="M1264" s="1704"/>
    </row>
    <row r="1265" spans="5:13" ht="15">
      <c r="E1265" s="1645"/>
      <c r="F1265" s="1707"/>
      <c r="G1265" s="1707"/>
      <c r="H1265" s="1707"/>
      <c r="I1265" s="1707"/>
      <c r="J1265" s="1707"/>
      <c r="K1265" s="1707"/>
      <c r="L1265" s="1704"/>
      <c r="M1265" s="1704"/>
    </row>
    <row r="1266" spans="5:13" ht="15">
      <c r="E1266" s="1645"/>
      <c r="F1266" s="1707"/>
      <c r="G1266" s="1707"/>
      <c r="H1266" s="1707"/>
      <c r="I1266" s="1707"/>
      <c r="J1266" s="1707"/>
      <c r="K1266" s="1707"/>
      <c r="L1266" s="1704"/>
      <c r="M1266" s="1704"/>
    </row>
    <row r="1267" spans="5:13" ht="15">
      <c r="E1267" s="1645"/>
      <c r="F1267" s="1707"/>
      <c r="G1267" s="1707"/>
      <c r="H1267" s="1707"/>
      <c r="I1267" s="1707"/>
      <c r="J1267" s="1707"/>
      <c r="K1267" s="1707"/>
      <c r="L1267" s="1704"/>
      <c r="M1267" s="1704"/>
    </row>
    <row r="1268" spans="5:13" ht="15">
      <c r="E1268" s="1645"/>
      <c r="F1268" s="1707"/>
      <c r="G1268" s="1707"/>
      <c r="H1268" s="1707"/>
      <c r="I1268" s="1707"/>
      <c r="J1268" s="1707"/>
      <c r="K1268" s="1707"/>
      <c r="L1268" s="1704"/>
      <c r="M1268" s="1704"/>
    </row>
    <row r="1269" spans="5:13" ht="15">
      <c r="E1269" s="1645"/>
      <c r="F1269" s="1707"/>
      <c r="G1269" s="1707"/>
      <c r="H1269" s="1707"/>
      <c r="I1269" s="1707"/>
      <c r="J1269" s="1707"/>
      <c r="K1269" s="1707"/>
      <c r="L1269" s="1704"/>
      <c r="M1269" s="1704"/>
    </row>
    <row r="1270" spans="5:13" ht="15">
      <c r="E1270" s="1645"/>
      <c r="F1270" s="1707"/>
      <c r="G1270" s="1707"/>
      <c r="H1270" s="1707"/>
      <c r="I1270" s="1707"/>
      <c r="J1270" s="1707"/>
      <c r="K1270" s="1707"/>
      <c r="L1270" s="1704"/>
      <c r="M1270" s="1704"/>
    </row>
    <row r="1271" spans="5:13" ht="15">
      <c r="E1271" s="1645"/>
      <c r="F1271" s="1707"/>
      <c r="G1271" s="1707"/>
      <c r="H1271" s="1707"/>
      <c r="I1271" s="1707"/>
      <c r="J1271" s="1707"/>
      <c r="K1271" s="1707"/>
      <c r="L1271" s="1704"/>
      <c r="M1271" s="1704"/>
    </row>
    <row r="1272" spans="5:13" ht="15">
      <c r="E1272" s="1645"/>
      <c r="F1272" s="1707"/>
      <c r="G1272" s="1707"/>
      <c r="H1272" s="1707"/>
      <c r="I1272" s="1707"/>
      <c r="J1272" s="1707"/>
      <c r="K1272" s="1707"/>
      <c r="L1272" s="1704"/>
      <c r="M1272" s="1704"/>
    </row>
    <row r="1273" spans="5:13" ht="15">
      <c r="E1273" s="1645"/>
      <c r="F1273" s="1707"/>
      <c r="G1273" s="1707"/>
      <c r="H1273" s="1707"/>
      <c r="I1273" s="1707"/>
      <c r="J1273" s="1707"/>
      <c r="K1273" s="1707"/>
      <c r="L1273" s="1704"/>
      <c r="M1273" s="1704"/>
    </row>
    <row r="1274" spans="5:13" ht="15">
      <c r="E1274" s="1645"/>
      <c r="F1274" s="1707"/>
      <c r="G1274" s="1707"/>
      <c r="H1274" s="1707"/>
      <c r="I1274" s="1707"/>
      <c r="J1274" s="1707"/>
      <c r="K1274" s="1707"/>
      <c r="L1274" s="1704"/>
      <c r="M1274" s="1704"/>
    </row>
    <row r="1275" spans="5:13" ht="15">
      <c r="E1275" s="1645"/>
      <c r="F1275" s="1707"/>
      <c r="G1275" s="1707"/>
      <c r="H1275" s="1707"/>
      <c r="I1275" s="1707"/>
      <c r="J1275" s="1707"/>
      <c r="K1275" s="1707"/>
      <c r="L1275" s="1704"/>
      <c r="M1275" s="1704"/>
    </row>
    <row r="1276" spans="5:13" ht="15">
      <c r="E1276" s="1645"/>
      <c r="F1276" s="1707"/>
      <c r="G1276" s="1707"/>
      <c r="H1276" s="1707"/>
      <c r="I1276" s="1707"/>
      <c r="J1276" s="1707"/>
      <c r="K1276" s="1707"/>
      <c r="L1276" s="1704"/>
      <c r="M1276" s="1704"/>
    </row>
    <row r="1277" spans="5:13" ht="15">
      <c r="E1277" s="1645"/>
      <c r="F1277" s="1707"/>
      <c r="G1277" s="1707"/>
      <c r="H1277" s="1707"/>
      <c r="I1277" s="1707"/>
      <c r="J1277" s="1707"/>
      <c r="K1277" s="1707"/>
      <c r="L1277" s="1704"/>
      <c r="M1277" s="1704"/>
    </row>
    <row r="1278" spans="5:13" ht="15">
      <c r="E1278" s="1645"/>
      <c r="F1278" s="1707"/>
      <c r="G1278" s="1707"/>
      <c r="H1278" s="1707"/>
      <c r="I1278" s="1707"/>
      <c r="J1278" s="1707"/>
      <c r="K1278" s="1707"/>
      <c r="L1278" s="1704"/>
      <c r="M1278" s="1704"/>
    </row>
    <row r="1279" spans="5:13" ht="15">
      <c r="E1279" s="1645"/>
      <c r="F1279" s="1707"/>
      <c r="G1279" s="1707"/>
      <c r="H1279" s="1707"/>
      <c r="I1279" s="1707"/>
      <c r="J1279" s="1707"/>
      <c r="K1279" s="1707"/>
      <c r="L1279" s="1704"/>
      <c r="M1279" s="1704"/>
    </row>
    <row r="1280" spans="5:13" ht="15">
      <c r="E1280" s="1645"/>
      <c r="F1280" s="1707"/>
      <c r="G1280" s="1707"/>
      <c r="H1280" s="1707"/>
      <c r="I1280" s="1707"/>
      <c r="J1280" s="1707"/>
      <c r="K1280" s="1707"/>
      <c r="L1280" s="1704"/>
      <c r="M1280" s="1704"/>
    </row>
    <row r="1281" spans="5:13" ht="15">
      <c r="E1281" s="1645"/>
      <c r="F1281" s="1707"/>
      <c r="G1281" s="1707"/>
      <c r="H1281" s="1707"/>
      <c r="I1281" s="1707"/>
      <c r="J1281" s="1707"/>
      <c r="K1281" s="1707"/>
      <c r="L1281" s="1704"/>
      <c r="M1281" s="1704"/>
    </row>
    <row r="1282" spans="5:13" ht="15">
      <c r="E1282" s="1645"/>
      <c r="F1282" s="1707"/>
      <c r="G1282" s="1707"/>
      <c r="H1282" s="1707"/>
      <c r="I1282" s="1707"/>
      <c r="J1282" s="1707"/>
      <c r="K1282" s="1707"/>
      <c r="L1282" s="1704"/>
      <c r="M1282" s="1704"/>
    </row>
    <row r="1283" spans="5:13" ht="15">
      <c r="E1283" s="1645"/>
      <c r="F1283" s="1707"/>
      <c r="G1283" s="1707"/>
      <c r="H1283" s="1707"/>
      <c r="I1283" s="1707"/>
      <c r="J1283" s="1707"/>
      <c r="K1283" s="1707"/>
      <c r="L1283" s="1704"/>
      <c r="M1283" s="1704"/>
    </row>
    <row r="1284" spans="5:13" ht="15">
      <c r="E1284" s="1645"/>
      <c r="F1284" s="1707"/>
      <c r="G1284" s="1707"/>
      <c r="H1284" s="1707"/>
      <c r="I1284" s="1707"/>
      <c r="J1284" s="1707"/>
      <c r="K1284" s="1707"/>
      <c r="L1284" s="1704"/>
      <c r="M1284" s="1704"/>
    </row>
    <row r="1285" spans="5:13" ht="15">
      <c r="E1285" s="1645"/>
      <c r="F1285" s="1707"/>
      <c r="G1285" s="1707"/>
      <c r="H1285" s="1707"/>
      <c r="I1285" s="1707"/>
      <c r="J1285" s="1707"/>
      <c r="K1285" s="1707"/>
      <c r="L1285" s="1704"/>
      <c r="M1285" s="1704"/>
    </row>
    <row r="1286" spans="5:13" ht="15">
      <c r="E1286" s="1645"/>
      <c r="F1286" s="1707"/>
      <c r="G1286" s="1707"/>
      <c r="H1286" s="1707"/>
      <c r="I1286" s="1707"/>
      <c r="J1286" s="1707"/>
      <c r="K1286" s="1707"/>
      <c r="L1286" s="1704"/>
      <c r="M1286" s="1704"/>
    </row>
    <row r="1287" spans="5:13" ht="15">
      <c r="E1287" s="1645"/>
      <c r="F1287" s="1707"/>
      <c r="G1287" s="1707"/>
      <c r="H1287" s="1707"/>
      <c r="I1287" s="1707"/>
      <c r="J1287" s="1707"/>
      <c r="K1287" s="1707"/>
      <c r="L1287" s="1704"/>
      <c r="M1287" s="1704"/>
    </row>
    <row r="1288" spans="5:13" ht="15">
      <c r="E1288" s="1645"/>
      <c r="F1288" s="1707"/>
      <c r="G1288" s="1707"/>
      <c r="H1288" s="1707"/>
      <c r="I1288" s="1707"/>
      <c r="J1288" s="1707"/>
      <c r="K1288" s="1707"/>
      <c r="L1288" s="1704"/>
      <c r="M1288" s="1704"/>
    </row>
    <row r="1289" spans="5:13" ht="15">
      <c r="E1289" s="1645"/>
      <c r="F1289" s="1707"/>
      <c r="G1289" s="1707"/>
      <c r="H1289" s="1707"/>
      <c r="I1289" s="1707"/>
      <c r="J1289" s="1707"/>
      <c r="K1289" s="1707"/>
      <c r="L1289" s="1704"/>
      <c r="M1289" s="1704"/>
    </row>
    <row r="1290" spans="5:13" ht="15">
      <c r="E1290" s="1645"/>
      <c r="F1290" s="1707"/>
      <c r="G1290" s="1707"/>
      <c r="H1290" s="1707"/>
      <c r="I1290" s="1707"/>
      <c r="J1290" s="1707"/>
      <c r="K1290" s="1707"/>
      <c r="L1290" s="1704"/>
      <c r="M1290" s="1704"/>
    </row>
    <row r="1291" spans="5:13" ht="15">
      <c r="E1291" s="1645"/>
      <c r="F1291" s="1707"/>
      <c r="G1291" s="1707"/>
      <c r="H1291" s="1707"/>
      <c r="I1291" s="1707"/>
      <c r="J1291" s="1707"/>
      <c r="K1291" s="1707"/>
      <c r="L1291" s="1704"/>
      <c r="M1291" s="1704"/>
    </row>
    <row r="1292" spans="5:13" ht="15">
      <c r="E1292" s="1645"/>
      <c r="F1292" s="1707"/>
      <c r="G1292" s="1707"/>
      <c r="H1292" s="1707"/>
      <c r="I1292" s="1707"/>
      <c r="J1292" s="1707"/>
      <c r="K1292" s="1707"/>
      <c r="L1292" s="1704"/>
      <c r="M1292" s="1704"/>
    </row>
    <row r="1293" spans="5:13" ht="15">
      <c r="E1293" s="1645"/>
      <c r="F1293" s="1707"/>
      <c r="G1293" s="1707"/>
      <c r="H1293" s="1707"/>
      <c r="I1293" s="1707"/>
      <c r="J1293" s="1707"/>
      <c r="K1293" s="1707"/>
      <c r="L1293" s="1704"/>
      <c r="M1293" s="1704"/>
    </row>
    <row r="1294" spans="5:13" ht="15">
      <c r="E1294" s="1645"/>
      <c r="F1294" s="1707"/>
      <c r="G1294" s="1707"/>
      <c r="H1294" s="1707"/>
      <c r="I1294" s="1707"/>
      <c r="J1294" s="1707"/>
      <c r="K1294" s="1707"/>
      <c r="L1294" s="1704"/>
      <c r="M1294" s="1704"/>
    </row>
    <row r="1295" spans="5:13" ht="15">
      <c r="E1295" s="1645"/>
      <c r="F1295" s="1707"/>
      <c r="G1295" s="1707"/>
      <c r="H1295" s="1707"/>
      <c r="I1295" s="1707"/>
      <c r="J1295" s="1707"/>
      <c r="K1295" s="1707"/>
      <c r="L1295" s="1704"/>
      <c r="M1295" s="1704"/>
    </row>
    <row r="1296" spans="5:13" ht="15">
      <c r="E1296" s="1645"/>
      <c r="F1296" s="1707"/>
      <c r="G1296" s="1707"/>
      <c r="H1296" s="1707"/>
      <c r="I1296" s="1707"/>
      <c r="J1296" s="1707"/>
      <c r="K1296" s="1707"/>
      <c r="L1296" s="1704"/>
      <c r="M1296" s="1704"/>
    </row>
    <row r="1297" spans="5:13" ht="15">
      <c r="E1297" s="1645"/>
      <c r="F1297" s="1707"/>
      <c r="G1297" s="1707"/>
      <c r="H1297" s="1707"/>
      <c r="I1297" s="1707"/>
      <c r="J1297" s="1707"/>
      <c r="K1297" s="1707"/>
      <c r="L1297" s="1704"/>
      <c r="M1297" s="1704"/>
    </row>
    <row r="1298" spans="5:13" ht="15">
      <c r="E1298" s="1645"/>
      <c r="F1298" s="1707"/>
      <c r="G1298" s="1707"/>
      <c r="H1298" s="1707"/>
      <c r="I1298" s="1707"/>
      <c r="J1298" s="1707"/>
      <c r="K1298" s="1707"/>
      <c r="L1298" s="1704"/>
      <c r="M1298" s="1704"/>
    </row>
    <row r="1299" spans="5:13" ht="15">
      <c r="E1299" s="1645"/>
      <c r="F1299" s="1707"/>
      <c r="G1299" s="1707"/>
      <c r="H1299" s="1707"/>
      <c r="I1299" s="1707"/>
      <c r="J1299" s="1707"/>
      <c r="K1299" s="1707"/>
      <c r="L1299" s="1704"/>
      <c r="M1299" s="1704"/>
    </row>
    <row r="1300" spans="5:13" ht="15">
      <c r="E1300" s="1645"/>
      <c r="F1300" s="1707"/>
      <c r="G1300" s="1707"/>
      <c r="H1300" s="1707"/>
      <c r="I1300" s="1707"/>
      <c r="J1300" s="1707"/>
      <c r="K1300" s="1707"/>
      <c r="L1300" s="1704"/>
      <c r="M1300" s="1704"/>
    </row>
    <row r="1301" spans="5:13" ht="15">
      <c r="E1301" s="1645"/>
      <c r="F1301" s="1707"/>
      <c r="G1301" s="1707"/>
      <c r="H1301" s="1707"/>
      <c r="I1301" s="1707"/>
      <c r="J1301" s="1707"/>
      <c r="K1301" s="1707"/>
      <c r="L1301" s="1704"/>
      <c r="M1301" s="1704"/>
    </row>
    <row r="1302" spans="5:13" ht="15">
      <c r="E1302" s="1645"/>
      <c r="F1302" s="1707"/>
      <c r="G1302" s="1707"/>
      <c r="H1302" s="1707"/>
      <c r="I1302" s="1707"/>
      <c r="J1302" s="1707"/>
      <c r="K1302" s="1707"/>
      <c r="L1302" s="1704"/>
      <c r="M1302" s="1704"/>
    </row>
    <row r="1303" spans="5:13" ht="15">
      <c r="E1303" s="1645"/>
      <c r="F1303" s="1707"/>
      <c r="G1303" s="1707"/>
      <c r="H1303" s="1707"/>
      <c r="I1303" s="1707"/>
      <c r="J1303" s="1707"/>
      <c r="K1303" s="1707"/>
      <c r="L1303" s="1704"/>
      <c r="M1303" s="1704"/>
    </row>
    <row r="1304" spans="5:13" ht="15">
      <c r="E1304" s="1645"/>
      <c r="F1304" s="1707"/>
      <c r="G1304" s="1707"/>
      <c r="H1304" s="1707"/>
      <c r="I1304" s="1707"/>
      <c r="J1304" s="1707"/>
      <c r="K1304" s="1707"/>
      <c r="L1304" s="1704"/>
      <c r="M1304" s="1704"/>
    </row>
    <row r="1305" spans="5:13" ht="15">
      <c r="E1305" s="1645"/>
      <c r="F1305" s="1707"/>
      <c r="G1305" s="1707"/>
      <c r="H1305" s="1707"/>
      <c r="I1305" s="1707"/>
      <c r="J1305" s="1707"/>
      <c r="K1305" s="1707"/>
      <c r="L1305" s="1704"/>
      <c r="M1305" s="1704"/>
    </row>
    <row r="1306" spans="5:13" ht="15">
      <c r="E1306" s="1645"/>
      <c r="F1306" s="1707"/>
      <c r="G1306" s="1707"/>
      <c r="H1306" s="1707"/>
      <c r="I1306" s="1707"/>
      <c r="J1306" s="1707"/>
      <c r="K1306" s="1707"/>
      <c r="L1306" s="1704"/>
      <c r="M1306" s="1704"/>
    </row>
    <row r="1307" spans="5:13" ht="15">
      <c r="E1307" s="1645"/>
      <c r="F1307" s="1707"/>
      <c r="G1307" s="1707"/>
      <c r="H1307" s="1707"/>
      <c r="I1307" s="1707"/>
      <c r="J1307" s="1707"/>
      <c r="K1307" s="1707"/>
      <c r="L1307" s="1704"/>
      <c r="M1307" s="1704"/>
    </row>
    <row r="1308" spans="5:13" ht="15">
      <c r="E1308" s="1645"/>
      <c r="F1308" s="1707"/>
      <c r="G1308" s="1707"/>
      <c r="H1308" s="1707"/>
      <c r="I1308" s="1707"/>
      <c r="J1308" s="1707"/>
      <c r="K1308" s="1707"/>
      <c r="L1308" s="1704"/>
      <c r="M1308" s="1704"/>
    </row>
    <row r="1309" spans="5:13" ht="15">
      <c r="E1309" s="1645"/>
      <c r="F1309" s="1707"/>
      <c r="G1309" s="1707"/>
      <c r="H1309" s="1707"/>
      <c r="I1309" s="1707"/>
      <c r="J1309" s="1707"/>
      <c r="K1309" s="1707"/>
      <c r="L1309" s="1704"/>
      <c r="M1309" s="1704"/>
    </row>
    <row r="1310" spans="5:13" ht="15">
      <c r="E1310" s="1645"/>
      <c r="F1310" s="1707"/>
      <c r="G1310" s="1707"/>
      <c r="H1310" s="1707"/>
      <c r="I1310" s="1707"/>
      <c r="J1310" s="1707"/>
      <c r="K1310" s="1707"/>
      <c r="L1310" s="1704"/>
      <c r="M1310" s="1704"/>
    </row>
    <row r="1311" spans="5:13" ht="15">
      <c r="E1311" s="1645"/>
      <c r="F1311" s="1707"/>
      <c r="G1311" s="1707"/>
      <c r="H1311" s="1707"/>
      <c r="I1311" s="1707"/>
      <c r="J1311" s="1707"/>
      <c r="K1311" s="1707"/>
      <c r="L1311" s="1704"/>
      <c r="M1311" s="1704"/>
    </row>
    <row r="1312" spans="5:13" ht="15">
      <c r="E1312" s="1645"/>
      <c r="F1312" s="1707"/>
      <c r="G1312" s="1707"/>
      <c r="H1312" s="1707"/>
      <c r="I1312" s="1707"/>
      <c r="J1312" s="1707"/>
      <c r="K1312" s="1707"/>
      <c r="L1312" s="1704"/>
      <c r="M1312" s="1704"/>
    </row>
    <row r="1313" spans="5:13" ht="15">
      <c r="E1313" s="1645"/>
      <c r="F1313" s="1707"/>
      <c r="G1313" s="1707"/>
      <c r="H1313" s="1707"/>
      <c r="I1313" s="1707"/>
      <c r="J1313" s="1707"/>
      <c r="K1313" s="1707"/>
      <c r="L1313" s="1704"/>
      <c r="M1313" s="1704"/>
    </row>
    <row r="1314" spans="5:13" ht="15">
      <c r="E1314" s="1645"/>
      <c r="F1314" s="1707"/>
      <c r="G1314" s="1707"/>
      <c r="H1314" s="1707"/>
      <c r="I1314" s="1707"/>
      <c r="J1314" s="1707"/>
      <c r="K1314" s="1707"/>
      <c r="L1314" s="1704"/>
      <c r="M1314" s="1704"/>
    </row>
    <row r="1315" spans="5:13" ht="15">
      <c r="E1315" s="1645"/>
      <c r="F1315" s="1707"/>
      <c r="G1315" s="1707"/>
      <c r="H1315" s="1707"/>
      <c r="I1315" s="1707"/>
      <c r="J1315" s="1707"/>
      <c r="K1315" s="1707"/>
      <c r="L1315" s="1704"/>
      <c r="M1315" s="1704"/>
    </row>
    <row r="1316" spans="5:13" ht="15">
      <c r="E1316" s="1645"/>
      <c r="F1316" s="1707"/>
      <c r="G1316" s="1707"/>
      <c r="H1316" s="1707"/>
      <c r="I1316" s="1707"/>
      <c r="J1316" s="1707"/>
      <c r="K1316" s="1707"/>
      <c r="L1316" s="1704"/>
      <c r="M1316" s="1704"/>
    </row>
    <row r="1317" spans="5:13" ht="15">
      <c r="E1317" s="1645"/>
      <c r="F1317" s="1707"/>
      <c r="G1317" s="1707"/>
      <c r="H1317" s="1707"/>
      <c r="I1317" s="1707"/>
      <c r="J1317" s="1707"/>
      <c r="K1317" s="1707"/>
      <c r="L1317" s="1704"/>
      <c r="M1317" s="1704"/>
    </row>
    <row r="1318" spans="5:13" ht="15">
      <c r="E1318" s="1645"/>
      <c r="F1318" s="1707"/>
      <c r="G1318" s="1707"/>
      <c r="H1318" s="1707"/>
      <c r="I1318" s="1707"/>
      <c r="J1318" s="1707"/>
      <c r="K1318" s="1707"/>
      <c r="L1318" s="1704"/>
      <c r="M1318" s="1704"/>
    </row>
    <row r="1319" spans="5:13" ht="15">
      <c r="E1319" s="1645"/>
      <c r="F1319" s="1707"/>
      <c r="G1319" s="1707"/>
      <c r="H1319" s="1707"/>
      <c r="I1319" s="1707"/>
      <c r="J1319" s="1707"/>
      <c r="K1319" s="1707"/>
      <c r="L1319" s="1704"/>
      <c r="M1319" s="1704"/>
    </row>
    <row r="1320" spans="5:13" ht="15">
      <c r="E1320" s="1645"/>
      <c r="F1320" s="1707"/>
      <c r="G1320" s="1707"/>
      <c r="H1320" s="1707"/>
      <c r="I1320" s="1707"/>
      <c r="J1320" s="1707"/>
      <c r="K1320" s="1707"/>
      <c r="L1320" s="1704"/>
      <c r="M1320" s="1704"/>
    </row>
    <row r="1321" spans="5:13" ht="15">
      <c r="E1321" s="1645"/>
      <c r="F1321" s="1707"/>
      <c r="G1321" s="1707"/>
      <c r="H1321" s="1707"/>
      <c r="I1321" s="1707"/>
      <c r="J1321" s="1707"/>
      <c r="K1321" s="1707"/>
      <c r="L1321" s="1704"/>
      <c r="M1321" s="1704"/>
    </row>
    <row r="1322" spans="5:13" ht="15">
      <c r="E1322" s="1645"/>
      <c r="F1322" s="1707"/>
      <c r="G1322" s="1707"/>
      <c r="H1322" s="1707"/>
      <c r="I1322" s="1707"/>
      <c r="J1322" s="1707"/>
      <c r="K1322" s="1707"/>
      <c r="L1322" s="1704"/>
      <c r="M1322" s="1704"/>
    </row>
    <row r="1323" spans="5:13" ht="15">
      <c r="E1323" s="1645"/>
      <c r="F1323" s="1707"/>
      <c r="G1323" s="1707"/>
      <c r="H1323" s="1707"/>
      <c r="I1323" s="1707"/>
      <c r="J1323" s="1707"/>
      <c r="K1323" s="1707"/>
      <c r="L1323" s="1704"/>
      <c r="M1323" s="1704"/>
    </row>
    <row r="1324" spans="5:13" ht="15">
      <c r="E1324" s="1645"/>
      <c r="F1324" s="1707"/>
      <c r="G1324" s="1707"/>
      <c r="H1324" s="1707"/>
      <c r="I1324" s="1707"/>
      <c r="J1324" s="1707"/>
      <c r="K1324" s="1707"/>
      <c r="L1324" s="1704"/>
      <c r="M1324" s="1704"/>
    </row>
    <row r="1325" spans="5:13" ht="15">
      <c r="E1325" s="1645"/>
      <c r="F1325" s="1707"/>
      <c r="G1325" s="1707"/>
      <c r="H1325" s="1707"/>
      <c r="I1325" s="1707"/>
      <c r="J1325" s="1707"/>
      <c r="K1325" s="1707"/>
      <c r="L1325" s="1704"/>
      <c r="M1325" s="1704"/>
    </row>
    <row r="1326" spans="5:13" ht="15">
      <c r="E1326" s="1645"/>
      <c r="F1326" s="1707"/>
      <c r="G1326" s="1707"/>
      <c r="H1326" s="1707"/>
      <c r="I1326" s="1707"/>
      <c r="J1326" s="1707"/>
      <c r="K1326" s="1707"/>
      <c r="L1326" s="1704"/>
      <c r="M1326" s="1704"/>
    </row>
    <row r="1327" spans="5:13" ht="15">
      <c r="E1327" s="1645"/>
      <c r="F1327" s="1707"/>
      <c r="G1327" s="1707"/>
      <c r="H1327" s="1707"/>
      <c r="I1327" s="1707"/>
      <c r="J1327" s="1707"/>
      <c r="K1327" s="1707"/>
      <c r="L1327" s="1704"/>
      <c r="M1327" s="1704"/>
    </row>
    <row r="1328" spans="5:13" ht="15">
      <c r="E1328" s="1645"/>
      <c r="F1328" s="1707"/>
      <c r="G1328" s="1707"/>
      <c r="H1328" s="1707"/>
      <c r="I1328" s="1707"/>
      <c r="J1328" s="1707"/>
      <c r="K1328" s="1707"/>
      <c r="L1328" s="1704"/>
      <c r="M1328" s="1704"/>
    </row>
    <row r="1329" spans="5:13" ht="15">
      <c r="E1329" s="1645"/>
      <c r="F1329" s="1707"/>
      <c r="G1329" s="1707"/>
      <c r="H1329" s="1707"/>
      <c r="I1329" s="1707"/>
      <c r="J1329" s="1707"/>
      <c r="K1329" s="1707"/>
      <c r="L1329" s="1704"/>
      <c r="M1329" s="1704"/>
    </row>
    <row r="1330" spans="5:13" ht="15">
      <c r="E1330" s="1645"/>
      <c r="F1330" s="1707"/>
      <c r="G1330" s="1707"/>
      <c r="H1330" s="1707"/>
      <c r="I1330" s="1707"/>
      <c r="J1330" s="1707"/>
      <c r="K1330" s="1707"/>
      <c r="L1330" s="1704"/>
      <c r="M1330" s="1704"/>
    </row>
    <row r="1331" spans="5:13" ht="15">
      <c r="E1331" s="1645"/>
      <c r="F1331" s="1707"/>
      <c r="G1331" s="1707"/>
      <c r="H1331" s="1707"/>
      <c r="I1331" s="1707"/>
      <c r="J1331" s="1707"/>
      <c r="K1331" s="1707"/>
      <c r="L1331" s="1704"/>
      <c r="M1331" s="1704"/>
    </row>
    <row r="1332" spans="5:13" ht="15">
      <c r="E1332" s="1645"/>
      <c r="F1332" s="1707"/>
      <c r="G1332" s="1707"/>
      <c r="H1332" s="1707"/>
      <c r="I1332" s="1707"/>
      <c r="J1332" s="1707"/>
      <c r="K1332" s="1707"/>
      <c r="L1332" s="1704"/>
      <c r="M1332" s="1704"/>
    </row>
    <row r="1333" spans="5:13" ht="15">
      <c r="E1333" s="1645"/>
      <c r="F1333" s="1707"/>
      <c r="G1333" s="1707"/>
      <c r="H1333" s="1707"/>
      <c r="I1333" s="1707"/>
      <c r="J1333" s="1707"/>
      <c r="K1333" s="1707"/>
      <c r="L1333" s="1704"/>
      <c r="M1333" s="1704"/>
    </row>
    <row r="1334" spans="5:13" ht="15">
      <c r="E1334" s="1645"/>
      <c r="F1334" s="1707"/>
      <c r="G1334" s="1707"/>
      <c r="H1334" s="1707"/>
      <c r="I1334" s="1707"/>
      <c r="J1334" s="1707"/>
      <c r="K1334" s="1707"/>
      <c r="L1334" s="1704"/>
      <c r="M1334" s="1704"/>
    </row>
    <row r="1335" spans="5:13" ht="15">
      <c r="E1335" s="1645"/>
      <c r="F1335" s="1707"/>
      <c r="G1335" s="1707"/>
      <c r="H1335" s="1707"/>
      <c r="I1335" s="1707"/>
      <c r="J1335" s="1707"/>
      <c r="K1335" s="1707"/>
      <c r="L1335" s="1704"/>
      <c r="M1335" s="1704"/>
    </row>
    <row r="1336" spans="5:13" ht="15">
      <c r="E1336" s="1645"/>
      <c r="F1336" s="1707"/>
      <c r="G1336" s="1707"/>
      <c r="H1336" s="1707"/>
      <c r="I1336" s="1707"/>
      <c r="J1336" s="1707"/>
      <c r="K1336" s="1707"/>
      <c r="L1336" s="1704"/>
      <c r="M1336" s="1704"/>
    </row>
    <row r="1337" spans="5:13" ht="15">
      <c r="E1337" s="1645"/>
      <c r="F1337" s="1707"/>
      <c r="G1337" s="1707"/>
      <c r="H1337" s="1707"/>
      <c r="I1337" s="1707"/>
      <c r="J1337" s="1707"/>
      <c r="K1337" s="1707"/>
      <c r="L1337" s="1704"/>
      <c r="M1337" s="1704"/>
    </row>
    <row r="1338" spans="5:13" ht="15">
      <c r="E1338" s="1645"/>
      <c r="F1338" s="1707"/>
      <c r="G1338" s="1707"/>
      <c r="H1338" s="1707"/>
      <c r="I1338" s="1707"/>
      <c r="J1338" s="1707"/>
      <c r="K1338" s="1707"/>
      <c r="L1338" s="1704"/>
      <c r="M1338" s="1704"/>
    </row>
    <row r="1339" spans="5:13" ht="15">
      <c r="E1339" s="1645"/>
      <c r="F1339" s="1707"/>
      <c r="G1339" s="1707"/>
      <c r="H1339" s="1707"/>
      <c r="I1339" s="1707"/>
      <c r="J1339" s="1707"/>
      <c r="K1339" s="1707"/>
      <c r="L1339" s="1704"/>
      <c r="M1339" s="1704"/>
    </row>
    <row r="1340" spans="5:13" ht="15">
      <c r="E1340" s="1645"/>
      <c r="F1340" s="1707"/>
      <c r="G1340" s="1707"/>
      <c r="H1340" s="1707"/>
      <c r="I1340" s="1707"/>
      <c r="J1340" s="1707"/>
      <c r="K1340" s="1707"/>
      <c r="L1340" s="1704"/>
      <c r="M1340" s="1704"/>
    </row>
    <row r="1341" spans="5:13" ht="15">
      <c r="E1341" s="1645"/>
      <c r="F1341" s="1707"/>
      <c r="G1341" s="1707"/>
      <c r="H1341" s="1707"/>
      <c r="I1341" s="1707"/>
      <c r="J1341" s="1707"/>
      <c r="K1341" s="1707"/>
      <c r="L1341" s="1704"/>
      <c r="M1341" s="1704"/>
    </row>
    <row r="1342" spans="5:13" ht="15">
      <c r="E1342" s="1645"/>
      <c r="F1342" s="1707"/>
      <c r="G1342" s="1707"/>
      <c r="H1342" s="1707"/>
      <c r="I1342" s="1707"/>
      <c r="J1342" s="1707"/>
      <c r="K1342" s="1707"/>
      <c r="L1342" s="1704"/>
      <c r="M1342" s="1704"/>
    </row>
    <row r="1343" spans="5:13" ht="15">
      <c r="E1343" s="1645"/>
      <c r="F1343" s="1707"/>
      <c r="G1343" s="1707"/>
      <c r="H1343" s="1707"/>
      <c r="I1343" s="1707"/>
      <c r="J1343" s="1707"/>
      <c r="K1343" s="1707"/>
      <c r="L1343" s="1704"/>
      <c r="M1343" s="1704"/>
    </row>
    <row r="1344" spans="5:13" ht="15">
      <c r="E1344" s="1645"/>
      <c r="F1344" s="1707"/>
      <c r="G1344" s="1707"/>
      <c r="H1344" s="1707"/>
      <c r="I1344" s="1707"/>
      <c r="J1344" s="1707"/>
      <c r="K1344" s="1707"/>
      <c r="L1344" s="1704"/>
      <c r="M1344" s="1704"/>
    </row>
    <row r="1345" spans="5:13" ht="15">
      <c r="E1345" s="1645"/>
      <c r="F1345" s="1707"/>
      <c r="G1345" s="1707"/>
      <c r="H1345" s="1707"/>
      <c r="I1345" s="1707"/>
      <c r="J1345" s="1707"/>
      <c r="K1345" s="1707"/>
      <c r="L1345" s="1704"/>
      <c r="M1345" s="1704"/>
    </row>
    <row r="1346" spans="5:13" ht="15">
      <c r="E1346" s="1645"/>
      <c r="F1346" s="1707"/>
      <c r="G1346" s="1707"/>
      <c r="H1346" s="1707"/>
      <c r="I1346" s="1707"/>
      <c r="J1346" s="1707"/>
      <c r="K1346" s="1707"/>
      <c r="L1346" s="1704"/>
      <c r="M1346" s="1704"/>
    </row>
    <row r="1347" spans="5:13" ht="15">
      <c r="E1347" s="1645"/>
      <c r="F1347" s="1707"/>
      <c r="G1347" s="1707"/>
      <c r="H1347" s="1707"/>
      <c r="I1347" s="1707"/>
      <c r="J1347" s="1707"/>
      <c r="K1347" s="1707"/>
      <c r="L1347" s="1704"/>
      <c r="M1347" s="1704"/>
    </row>
    <row r="1348" spans="5:13" ht="15">
      <c r="E1348" s="1645"/>
      <c r="F1348" s="1707"/>
      <c r="G1348" s="1707"/>
      <c r="H1348" s="1707"/>
      <c r="I1348" s="1707"/>
      <c r="J1348" s="1707"/>
      <c r="K1348" s="1707"/>
      <c r="L1348" s="1704"/>
      <c r="M1348" s="1704"/>
    </row>
    <row r="1349" spans="5:13" ht="15">
      <c r="E1349" s="1645"/>
      <c r="F1349" s="1707"/>
      <c r="G1349" s="1707"/>
      <c r="H1349" s="1707"/>
      <c r="I1349" s="1707"/>
      <c r="J1349" s="1707"/>
      <c r="K1349" s="1707"/>
      <c r="L1349" s="1704"/>
      <c r="M1349" s="1704"/>
    </row>
    <row r="1350" spans="5:13" ht="15">
      <c r="E1350" s="1645"/>
      <c r="F1350" s="1707"/>
      <c r="G1350" s="1707"/>
      <c r="H1350" s="1707"/>
      <c r="I1350" s="1707"/>
      <c r="J1350" s="1707"/>
      <c r="K1350" s="1707"/>
      <c r="L1350" s="1704"/>
      <c r="M1350" s="1704"/>
    </row>
    <row r="1351" spans="5:13" ht="15">
      <c r="E1351" s="1645"/>
      <c r="F1351" s="1707"/>
      <c r="G1351" s="1707"/>
      <c r="H1351" s="1707"/>
      <c r="I1351" s="1707"/>
      <c r="J1351" s="1707"/>
      <c r="K1351" s="1707"/>
      <c r="L1351" s="1704"/>
      <c r="M1351" s="1704"/>
    </row>
    <row r="1352" spans="5:13" ht="15">
      <c r="E1352" s="1645"/>
      <c r="F1352" s="1707"/>
      <c r="G1352" s="1707"/>
      <c r="H1352" s="1707"/>
      <c r="I1352" s="1707"/>
      <c r="J1352" s="1707"/>
      <c r="K1352" s="1707"/>
      <c r="L1352" s="1704"/>
      <c r="M1352" s="1704"/>
    </row>
    <row r="1353" spans="5:13" ht="15">
      <c r="E1353" s="1645"/>
      <c r="F1353" s="1707"/>
      <c r="G1353" s="1707"/>
      <c r="H1353" s="1707"/>
      <c r="I1353" s="1707"/>
      <c r="J1353" s="1707"/>
      <c r="K1353" s="1707"/>
      <c r="L1353" s="1704"/>
      <c r="M1353" s="1704"/>
    </row>
    <row r="1354" spans="5:13" ht="15">
      <c r="E1354" s="1645"/>
      <c r="F1354" s="1707"/>
      <c r="G1354" s="1707"/>
      <c r="H1354" s="1707"/>
      <c r="I1354" s="1707"/>
      <c r="J1354" s="1707"/>
      <c r="K1354" s="1707"/>
      <c r="L1354" s="1704"/>
      <c r="M1354" s="1704"/>
    </row>
    <row r="1355" spans="5:13" ht="15">
      <c r="E1355" s="1645"/>
      <c r="F1355" s="1707"/>
      <c r="G1355" s="1707"/>
      <c r="H1355" s="1707"/>
      <c r="I1355" s="1707"/>
      <c r="J1355" s="1707"/>
      <c r="K1355" s="1707"/>
      <c r="L1355" s="1704"/>
      <c r="M1355" s="1704"/>
    </row>
    <row r="1356" spans="5:13" ht="15">
      <c r="E1356" s="1645"/>
      <c r="F1356" s="1707"/>
      <c r="G1356" s="1707"/>
      <c r="H1356" s="1707"/>
      <c r="I1356" s="1707"/>
      <c r="J1356" s="1707"/>
      <c r="K1356" s="1707"/>
      <c r="L1356" s="1704"/>
      <c r="M1356" s="1704"/>
    </row>
    <row r="1357" spans="5:13" ht="15">
      <c r="E1357" s="1645"/>
      <c r="F1357" s="1707"/>
      <c r="G1357" s="1707"/>
      <c r="H1357" s="1707"/>
      <c r="I1357" s="1707"/>
      <c r="J1357" s="1707"/>
      <c r="K1357" s="1707"/>
      <c r="L1357" s="1704"/>
      <c r="M1357" s="1704"/>
    </row>
    <row r="1358" spans="5:13" ht="15">
      <c r="E1358" s="1645"/>
      <c r="F1358" s="1707"/>
      <c r="G1358" s="1707"/>
      <c r="H1358" s="1707"/>
      <c r="I1358" s="1707"/>
      <c r="J1358" s="1707"/>
      <c r="K1358" s="1707"/>
      <c r="L1358" s="1704"/>
      <c r="M1358" s="1704"/>
    </row>
    <row r="1359" spans="5:13" ht="15">
      <c r="E1359" s="1645"/>
      <c r="F1359" s="1707"/>
      <c r="G1359" s="1707"/>
      <c r="H1359" s="1707"/>
      <c r="I1359" s="1707"/>
      <c r="J1359" s="1707"/>
      <c r="K1359" s="1707"/>
      <c r="L1359" s="1704"/>
      <c r="M1359" s="1704"/>
    </row>
    <row r="1360" spans="5:13" ht="15">
      <c r="E1360" s="1645"/>
      <c r="F1360" s="1707"/>
      <c r="G1360" s="1707"/>
      <c r="H1360" s="1707"/>
      <c r="I1360" s="1707"/>
      <c r="J1360" s="1707"/>
      <c r="K1360" s="1707"/>
      <c r="L1360" s="1704"/>
      <c r="M1360" s="1704"/>
    </row>
    <row r="1361" spans="5:13" ht="15">
      <c r="E1361" s="1645"/>
      <c r="F1361" s="1707"/>
      <c r="G1361" s="1707"/>
      <c r="H1361" s="1707"/>
      <c r="I1361" s="1707"/>
      <c r="J1361" s="1707"/>
      <c r="K1361" s="1707"/>
      <c r="L1361" s="1704"/>
      <c r="M1361" s="1704"/>
    </row>
    <row r="1362" spans="5:13" ht="15">
      <c r="E1362" s="1645"/>
      <c r="F1362" s="1707"/>
      <c r="G1362" s="1707"/>
      <c r="H1362" s="1707"/>
      <c r="I1362" s="1707"/>
      <c r="J1362" s="1707"/>
      <c r="K1362" s="1707"/>
      <c r="L1362" s="1704"/>
      <c r="M1362" s="1704"/>
    </row>
    <row r="1363" spans="5:13" ht="15">
      <c r="E1363" s="1645"/>
      <c r="F1363" s="1707"/>
      <c r="G1363" s="1707"/>
      <c r="H1363" s="1707"/>
      <c r="I1363" s="1707"/>
      <c r="J1363" s="1707"/>
      <c r="K1363" s="1707"/>
      <c r="L1363" s="1704"/>
      <c r="M1363" s="1704"/>
    </row>
    <row r="1364" spans="5:13" ht="15">
      <c r="E1364" s="1645"/>
      <c r="F1364" s="1707"/>
      <c r="G1364" s="1707"/>
      <c r="H1364" s="1707"/>
      <c r="I1364" s="1707"/>
      <c r="J1364" s="1707"/>
      <c r="K1364" s="1707"/>
      <c r="L1364" s="1704"/>
      <c r="M1364" s="1704"/>
    </row>
    <row r="1365" spans="5:13" ht="15">
      <c r="E1365" s="1645"/>
      <c r="F1365" s="1707"/>
      <c r="G1365" s="1707"/>
      <c r="H1365" s="1707"/>
      <c r="I1365" s="1707"/>
      <c r="J1365" s="1707"/>
      <c r="K1365" s="1707"/>
      <c r="L1365" s="1704"/>
      <c r="M1365" s="1704"/>
    </row>
    <row r="1366" spans="5:13" ht="15">
      <c r="E1366" s="1645"/>
      <c r="F1366" s="1707"/>
      <c r="G1366" s="1707"/>
      <c r="H1366" s="1707"/>
      <c r="I1366" s="1707"/>
      <c r="J1366" s="1707"/>
      <c r="K1366" s="1707"/>
      <c r="L1366" s="1704"/>
      <c r="M1366" s="1704"/>
    </row>
    <row r="1367" spans="5:13" ht="15">
      <c r="E1367" s="1645"/>
      <c r="F1367" s="1707"/>
      <c r="G1367" s="1707"/>
      <c r="H1367" s="1707"/>
      <c r="I1367" s="1707"/>
      <c r="J1367" s="1707"/>
      <c r="K1367" s="1707"/>
      <c r="L1367" s="1704"/>
      <c r="M1367" s="1704"/>
    </row>
    <row r="1368" spans="5:13" ht="15">
      <c r="E1368" s="1645"/>
      <c r="F1368" s="1707"/>
      <c r="G1368" s="1707"/>
      <c r="H1368" s="1707"/>
      <c r="I1368" s="1707"/>
      <c r="J1368" s="1707"/>
      <c r="K1368" s="1707"/>
      <c r="L1368" s="1704"/>
      <c r="M1368" s="1704"/>
    </row>
    <row r="1369" spans="5:13" ht="15">
      <c r="E1369" s="1645"/>
      <c r="F1369" s="1707"/>
      <c r="G1369" s="1707"/>
      <c r="H1369" s="1707"/>
      <c r="I1369" s="1707"/>
      <c r="J1369" s="1707"/>
      <c r="K1369" s="1707"/>
      <c r="L1369" s="1704"/>
      <c r="M1369" s="1704"/>
    </row>
    <row r="1370" spans="5:13" ht="15">
      <c r="E1370" s="1645"/>
      <c r="F1370" s="1707"/>
      <c r="G1370" s="1707"/>
      <c r="H1370" s="1707"/>
      <c r="I1370" s="1707"/>
      <c r="J1370" s="1707"/>
      <c r="K1370" s="1707"/>
      <c r="L1370" s="1704"/>
      <c r="M1370" s="1704"/>
    </row>
    <row r="1371" spans="5:13" ht="15">
      <c r="E1371" s="1645"/>
      <c r="F1371" s="1707"/>
      <c r="G1371" s="1707"/>
      <c r="H1371" s="1707"/>
      <c r="I1371" s="1707"/>
      <c r="J1371" s="1707"/>
      <c r="K1371" s="1707"/>
      <c r="L1371" s="1704"/>
      <c r="M1371" s="1704"/>
    </row>
    <row r="1372" spans="5:13" ht="15">
      <c r="E1372" s="1645"/>
      <c r="F1372" s="1707"/>
      <c r="G1372" s="1707"/>
      <c r="H1372" s="1707"/>
      <c r="I1372" s="1707"/>
      <c r="J1372" s="1707"/>
      <c r="K1372" s="1707"/>
      <c r="L1372" s="1704"/>
      <c r="M1372" s="1704"/>
    </row>
    <row r="1373" spans="5:13" ht="15">
      <c r="E1373" s="1645"/>
      <c r="F1373" s="1707"/>
      <c r="G1373" s="1707"/>
      <c r="H1373" s="1707"/>
      <c r="I1373" s="1707"/>
      <c r="J1373" s="1707"/>
      <c r="K1373" s="1707"/>
      <c r="L1373" s="1704"/>
      <c r="M1373" s="1704"/>
    </row>
    <row r="1374" spans="5:13" ht="15">
      <c r="E1374" s="1645"/>
      <c r="F1374" s="1707"/>
      <c r="G1374" s="1707"/>
      <c r="H1374" s="1707"/>
      <c r="I1374" s="1707"/>
      <c r="J1374" s="1707"/>
      <c r="K1374" s="1707"/>
      <c r="L1374" s="1704"/>
      <c r="M1374" s="1704"/>
    </row>
    <row r="1375" spans="5:13" ht="15">
      <c r="E1375" s="1645"/>
      <c r="F1375" s="1707"/>
      <c r="G1375" s="1707"/>
      <c r="H1375" s="1707"/>
      <c r="I1375" s="1707"/>
      <c r="J1375" s="1707"/>
      <c r="K1375" s="1707"/>
      <c r="L1375" s="1704"/>
      <c r="M1375" s="1704"/>
    </row>
    <row r="1376" spans="5:13" ht="15">
      <c r="E1376" s="1645"/>
      <c r="F1376" s="1707"/>
      <c r="G1376" s="1707"/>
      <c r="H1376" s="1707"/>
      <c r="I1376" s="1707"/>
      <c r="J1376" s="1707"/>
      <c r="K1376" s="1707"/>
      <c r="L1376" s="1704"/>
      <c r="M1376" s="1704"/>
    </row>
    <row r="1377" spans="5:13" ht="15">
      <c r="E1377" s="1645"/>
      <c r="F1377" s="1707"/>
      <c r="G1377" s="1707"/>
      <c r="H1377" s="1707"/>
      <c r="I1377" s="1707"/>
      <c r="J1377" s="1707"/>
      <c r="K1377" s="1707"/>
      <c r="L1377" s="1704"/>
      <c r="M1377" s="1704"/>
    </row>
    <row r="1378" spans="5:13" ht="15">
      <c r="E1378" s="1645"/>
      <c r="F1378" s="1707"/>
      <c r="G1378" s="1707"/>
      <c r="H1378" s="1707"/>
      <c r="I1378" s="1707"/>
      <c r="J1378" s="1707"/>
      <c r="K1378" s="1707"/>
      <c r="L1378" s="1704"/>
      <c r="M1378" s="1704"/>
    </row>
    <row r="1379" spans="5:13" ht="15">
      <c r="E1379" s="1645"/>
      <c r="F1379" s="1707"/>
      <c r="G1379" s="1707"/>
      <c r="H1379" s="1707"/>
      <c r="I1379" s="1707"/>
      <c r="J1379" s="1707"/>
      <c r="K1379" s="1707"/>
      <c r="L1379" s="1704"/>
      <c r="M1379" s="1704"/>
    </row>
    <row r="1380" spans="5:13" ht="15">
      <c r="E1380" s="1645"/>
      <c r="F1380" s="1707"/>
      <c r="G1380" s="1707"/>
      <c r="H1380" s="1707"/>
      <c r="I1380" s="1707"/>
      <c r="J1380" s="1707"/>
      <c r="K1380" s="1707"/>
      <c r="L1380" s="1704"/>
      <c r="M1380" s="1704"/>
    </row>
    <row r="1381" spans="5:13" ht="15">
      <c r="E1381" s="1645"/>
      <c r="F1381" s="1707"/>
      <c r="G1381" s="1707"/>
      <c r="H1381" s="1707"/>
      <c r="I1381" s="1707"/>
      <c r="J1381" s="1707"/>
      <c r="K1381" s="1707"/>
      <c r="L1381" s="1704"/>
      <c r="M1381" s="1704"/>
    </row>
    <row r="1382" spans="5:13" ht="15">
      <c r="E1382" s="1645"/>
      <c r="F1382" s="1707"/>
      <c r="G1382" s="1707"/>
      <c r="H1382" s="1707"/>
      <c r="I1382" s="1707"/>
      <c r="J1382" s="1707"/>
      <c r="K1382" s="1707"/>
      <c r="L1382" s="1704"/>
      <c r="M1382" s="1704"/>
    </row>
    <row r="1383" spans="5:13" ht="15">
      <c r="E1383" s="1645"/>
      <c r="F1383" s="1707"/>
      <c r="G1383" s="1707"/>
      <c r="H1383" s="1707"/>
      <c r="I1383" s="1707"/>
      <c r="J1383" s="1707"/>
      <c r="K1383" s="1707"/>
      <c r="L1383" s="1704"/>
      <c r="M1383" s="1704"/>
    </row>
    <row r="1384" spans="5:13" ht="15">
      <c r="E1384" s="1645"/>
      <c r="F1384" s="1707"/>
      <c r="G1384" s="1707"/>
      <c r="H1384" s="1707"/>
      <c r="I1384" s="1707"/>
      <c r="J1384" s="1707"/>
      <c r="K1384" s="1707"/>
      <c r="L1384" s="1704"/>
      <c r="M1384" s="1704"/>
    </row>
    <row r="1385" spans="5:13" ht="15">
      <c r="E1385" s="1645"/>
      <c r="F1385" s="1707"/>
      <c r="G1385" s="1707"/>
      <c r="H1385" s="1707"/>
      <c r="I1385" s="1707"/>
      <c r="J1385" s="1707"/>
      <c r="K1385" s="1707"/>
      <c r="L1385" s="1704"/>
      <c r="M1385" s="1704"/>
    </row>
    <row r="1386" spans="5:13" ht="15">
      <c r="E1386" s="1645"/>
      <c r="F1386" s="1707"/>
      <c r="G1386" s="1707"/>
      <c r="H1386" s="1707"/>
      <c r="I1386" s="1707"/>
      <c r="J1386" s="1707"/>
      <c r="K1386" s="1707"/>
      <c r="L1386" s="1704"/>
      <c r="M1386" s="1704"/>
    </row>
    <row r="1387" spans="5:13" ht="15">
      <c r="E1387" s="1645"/>
      <c r="F1387" s="1707"/>
      <c r="G1387" s="1707"/>
      <c r="H1387" s="1707"/>
      <c r="I1387" s="1707"/>
      <c r="J1387" s="1707"/>
      <c r="K1387" s="1707"/>
      <c r="L1387" s="1704"/>
      <c r="M1387" s="1704"/>
    </row>
    <row r="1388" spans="5:13" ht="15">
      <c r="E1388" s="1645"/>
      <c r="F1388" s="1707"/>
      <c r="G1388" s="1707"/>
      <c r="H1388" s="1707"/>
      <c r="I1388" s="1707"/>
      <c r="J1388" s="1707"/>
      <c r="K1388" s="1707"/>
      <c r="L1388" s="1704"/>
      <c r="M1388" s="1704"/>
    </row>
    <row r="1389" spans="5:13" ht="15">
      <c r="E1389" s="1645"/>
      <c r="F1389" s="1707"/>
      <c r="G1389" s="1707"/>
      <c r="H1389" s="1707"/>
      <c r="I1389" s="1707"/>
      <c r="J1389" s="1707"/>
      <c r="K1389" s="1707"/>
      <c r="L1389" s="1704"/>
      <c r="M1389" s="1704"/>
    </row>
    <row r="1390" spans="5:13" ht="15">
      <c r="E1390" s="1645"/>
      <c r="F1390" s="1707"/>
      <c r="G1390" s="1707"/>
      <c r="H1390" s="1707"/>
      <c r="I1390" s="1707"/>
      <c r="J1390" s="1707"/>
      <c r="K1390" s="1707"/>
      <c r="L1390" s="1704"/>
      <c r="M1390" s="1704"/>
    </row>
    <row r="1391" spans="5:13" ht="15">
      <c r="E1391" s="1645"/>
      <c r="F1391" s="1707"/>
      <c r="G1391" s="1707"/>
      <c r="H1391" s="1707"/>
      <c r="I1391" s="1707"/>
      <c r="J1391" s="1707"/>
      <c r="K1391" s="1707"/>
      <c r="L1391" s="1704"/>
      <c r="M1391" s="1704"/>
    </row>
    <row r="1392" spans="5:13" ht="15">
      <c r="E1392" s="1645"/>
      <c r="F1392" s="1707"/>
      <c r="G1392" s="1707"/>
      <c r="H1392" s="1707"/>
      <c r="I1392" s="1707"/>
      <c r="J1392" s="1707"/>
      <c r="K1392" s="1707"/>
      <c r="L1392" s="1704"/>
      <c r="M1392" s="1704"/>
    </row>
    <row r="1393" spans="5:13" ht="15">
      <c r="E1393" s="1645"/>
      <c r="F1393" s="1707"/>
      <c r="G1393" s="1707"/>
      <c r="H1393" s="1707"/>
      <c r="I1393" s="1707"/>
      <c r="J1393" s="1707"/>
      <c r="K1393" s="1707"/>
      <c r="L1393" s="1704"/>
      <c r="M1393" s="1704"/>
    </row>
    <row r="1394" spans="5:13" ht="15">
      <c r="E1394" s="1645"/>
      <c r="F1394" s="1707"/>
      <c r="G1394" s="1707"/>
      <c r="H1394" s="1707"/>
      <c r="I1394" s="1707"/>
      <c r="J1394" s="1707"/>
      <c r="K1394" s="1707"/>
      <c r="L1394" s="1704"/>
      <c r="M1394" s="1704"/>
    </row>
    <row r="1395" spans="5:13" ht="15">
      <c r="E1395" s="1645"/>
      <c r="F1395" s="1707"/>
      <c r="G1395" s="1707"/>
      <c r="H1395" s="1707"/>
      <c r="I1395" s="1707"/>
      <c r="J1395" s="1707"/>
      <c r="K1395" s="1707"/>
      <c r="L1395" s="1704"/>
      <c r="M1395" s="1704"/>
    </row>
    <row r="1396" spans="5:13" ht="15">
      <c r="E1396" s="1645"/>
      <c r="F1396" s="1707"/>
      <c r="G1396" s="1707"/>
      <c r="H1396" s="1707"/>
      <c r="I1396" s="1707"/>
      <c r="J1396" s="1707"/>
      <c r="K1396" s="1707"/>
      <c r="L1396" s="1704"/>
      <c r="M1396" s="1704"/>
    </row>
    <row r="1397" spans="5:13" ht="15">
      <c r="E1397" s="1645"/>
      <c r="F1397" s="1707"/>
      <c r="G1397" s="1707"/>
      <c r="H1397" s="1707"/>
      <c r="I1397" s="1707"/>
      <c r="J1397" s="1707"/>
      <c r="K1397" s="1707"/>
      <c r="L1397" s="1704"/>
      <c r="M1397" s="1704"/>
    </row>
    <row r="1398" spans="5:13" ht="15">
      <c r="E1398" s="1645"/>
      <c r="F1398" s="1707"/>
      <c r="G1398" s="1707"/>
      <c r="H1398" s="1707"/>
      <c r="I1398" s="1707"/>
      <c r="J1398" s="1707"/>
      <c r="K1398" s="1707"/>
      <c r="L1398" s="1704"/>
      <c r="M1398" s="1704"/>
    </row>
    <row r="1399" spans="5:13" ht="15">
      <c r="E1399" s="1645"/>
      <c r="F1399" s="1707"/>
      <c r="G1399" s="1707"/>
      <c r="H1399" s="1707"/>
      <c r="I1399" s="1707"/>
      <c r="J1399" s="1707"/>
      <c r="K1399" s="1707"/>
      <c r="L1399" s="1704"/>
      <c r="M1399" s="1704"/>
    </row>
    <row r="1400" spans="5:13" ht="15">
      <c r="E1400" s="1645"/>
      <c r="F1400" s="1707"/>
      <c r="G1400" s="1707"/>
      <c r="H1400" s="1707"/>
      <c r="I1400" s="1707"/>
      <c r="J1400" s="1707"/>
      <c r="K1400" s="1707"/>
      <c r="L1400" s="1704"/>
      <c r="M1400" s="1704"/>
    </row>
    <row r="1401" spans="5:13" ht="15">
      <c r="E1401" s="1645"/>
      <c r="F1401" s="1707"/>
      <c r="G1401" s="1707"/>
      <c r="H1401" s="1707"/>
      <c r="I1401" s="1707"/>
      <c r="J1401" s="1707"/>
      <c r="K1401" s="1707"/>
      <c r="L1401" s="1704"/>
      <c r="M1401" s="1704"/>
    </row>
    <row r="1402" spans="5:13" ht="15">
      <c r="E1402" s="1645"/>
      <c r="F1402" s="1707"/>
      <c r="G1402" s="1707"/>
      <c r="H1402" s="1707"/>
      <c r="I1402" s="1707"/>
      <c r="J1402" s="1707"/>
      <c r="K1402" s="1707"/>
      <c r="L1402" s="1704"/>
      <c r="M1402" s="1704"/>
    </row>
    <row r="1403" spans="5:13" ht="15">
      <c r="E1403" s="1645"/>
      <c r="F1403" s="1707"/>
      <c r="G1403" s="1707"/>
      <c r="H1403" s="1707"/>
      <c r="I1403" s="1707"/>
      <c r="J1403" s="1707"/>
      <c r="K1403" s="1707"/>
      <c r="L1403" s="1704"/>
      <c r="M1403" s="1704"/>
    </row>
    <row r="1404" spans="5:13" ht="15">
      <c r="E1404" s="1645"/>
      <c r="F1404" s="1707"/>
      <c r="G1404" s="1707"/>
      <c r="H1404" s="1707"/>
      <c r="I1404" s="1707"/>
      <c r="J1404" s="1707"/>
      <c r="K1404" s="1707"/>
      <c r="L1404" s="1704"/>
      <c r="M1404" s="1704"/>
    </row>
    <row r="1405" spans="5:13" ht="15">
      <c r="E1405" s="1645"/>
      <c r="F1405" s="1707"/>
      <c r="G1405" s="1707"/>
      <c r="H1405" s="1707"/>
      <c r="I1405" s="1707"/>
      <c r="J1405" s="1707"/>
      <c r="K1405" s="1707"/>
      <c r="L1405" s="1704"/>
      <c r="M1405" s="1704"/>
    </row>
    <row r="1406" spans="5:13" ht="15">
      <c r="E1406" s="1645"/>
      <c r="F1406" s="1707"/>
      <c r="G1406" s="1707"/>
      <c r="H1406" s="1707"/>
      <c r="I1406" s="1707"/>
      <c r="J1406" s="1707"/>
      <c r="K1406" s="1707"/>
      <c r="L1406" s="1704"/>
      <c r="M1406" s="1704"/>
    </row>
    <row r="1407" spans="5:13" ht="15">
      <c r="E1407" s="1645"/>
      <c r="F1407" s="1707"/>
      <c r="G1407" s="1707"/>
      <c r="H1407" s="1707"/>
      <c r="I1407" s="1707"/>
      <c r="J1407" s="1707"/>
      <c r="K1407" s="1707"/>
      <c r="L1407" s="1704"/>
      <c r="M1407" s="1704"/>
    </row>
    <row r="1408" spans="5:13" ht="15">
      <c r="E1408" s="1645"/>
      <c r="F1408" s="1707"/>
      <c r="G1408" s="1707"/>
      <c r="H1408" s="1707"/>
      <c r="I1408" s="1707"/>
      <c r="J1408" s="1707"/>
      <c r="K1408" s="1707"/>
      <c r="L1408" s="1704"/>
      <c r="M1408" s="1704"/>
    </row>
    <row r="1409" spans="5:13" ht="15">
      <c r="E1409" s="1645"/>
      <c r="F1409" s="1707"/>
      <c r="G1409" s="1707"/>
      <c r="H1409" s="1707"/>
      <c r="I1409" s="1707"/>
      <c r="J1409" s="1707"/>
      <c r="K1409" s="1707"/>
      <c r="L1409" s="1704"/>
      <c r="M1409" s="1704"/>
    </row>
    <row r="1410" spans="5:13" ht="15">
      <c r="E1410" s="1645"/>
      <c r="F1410" s="1707"/>
      <c r="G1410" s="1707"/>
      <c r="H1410" s="1707"/>
      <c r="I1410" s="1707"/>
      <c r="J1410" s="1707"/>
      <c r="K1410" s="1707"/>
      <c r="L1410" s="1704"/>
      <c r="M1410" s="1704"/>
    </row>
    <row r="1411" spans="5:13" ht="15">
      <c r="E1411" s="1645"/>
      <c r="F1411" s="1707"/>
      <c r="G1411" s="1707"/>
      <c r="H1411" s="1707"/>
      <c r="I1411" s="1707"/>
      <c r="J1411" s="1707"/>
      <c r="K1411" s="1707"/>
      <c r="L1411" s="1704"/>
      <c r="M1411" s="1704"/>
    </row>
    <row r="1412" spans="5:13" ht="15">
      <c r="E1412" s="1645"/>
      <c r="F1412" s="1707"/>
      <c r="G1412" s="1707"/>
      <c r="H1412" s="1707"/>
      <c r="I1412" s="1707"/>
      <c r="J1412" s="1707"/>
      <c r="K1412" s="1707"/>
      <c r="L1412" s="1704"/>
      <c r="M1412" s="1704"/>
    </row>
    <row r="1413" spans="5:13" ht="15">
      <c r="E1413" s="1645"/>
      <c r="F1413" s="1707"/>
      <c r="G1413" s="1707"/>
      <c r="H1413" s="1707"/>
      <c r="I1413" s="1707"/>
      <c r="J1413" s="1707"/>
      <c r="K1413" s="1707"/>
      <c r="L1413" s="1704"/>
      <c r="M1413" s="1704"/>
    </row>
    <row r="1414" spans="5:13" ht="15">
      <c r="E1414" s="1645"/>
      <c r="F1414" s="1707"/>
      <c r="G1414" s="1707"/>
      <c r="H1414" s="1707"/>
      <c r="I1414" s="1707"/>
      <c r="J1414" s="1707"/>
      <c r="K1414" s="1707"/>
      <c r="L1414" s="1704"/>
      <c r="M1414" s="1704"/>
    </row>
    <row r="1415" spans="5:13" ht="15">
      <c r="E1415" s="1645"/>
      <c r="F1415" s="1707"/>
      <c r="G1415" s="1707"/>
      <c r="H1415" s="1707"/>
      <c r="I1415" s="1707"/>
      <c r="J1415" s="1707"/>
      <c r="K1415" s="1707"/>
      <c r="L1415" s="1704"/>
      <c r="M1415" s="1704"/>
    </row>
    <row r="1416" spans="5:13" ht="15">
      <c r="E1416" s="1645"/>
      <c r="F1416" s="1707"/>
      <c r="G1416" s="1707"/>
      <c r="H1416" s="1707"/>
      <c r="I1416" s="1707"/>
      <c r="J1416" s="1707"/>
      <c r="K1416" s="1707"/>
      <c r="L1416" s="1704"/>
      <c r="M1416" s="1704"/>
    </row>
    <row r="1417" spans="5:13" ht="15">
      <c r="E1417" s="1645"/>
      <c r="F1417" s="1707"/>
      <c r="G1417" s="1707"/>
      <c r="H1417" s="1707"/>
      <c r="I1417" s="1707"/>
      <c r="J1417" s="1707"/>
      <c r="K1417" s="1707"/>
      <c r="L1417" s="1704"/>
      <c r="M1417" s="1704"/>
    </row>
    <row r="1418" spans="5:13" ht="15">
      <c r="E1418" s="1645"/>
      <c r="F1418" s="1707"/>
      <c r="G1418" s="1707"/>
      <c r="H1418" s="1707"/>
      <c r="I1418" s="1707"/>
      <c r="J1418" s="1707"/>
      <c r="K1418" s="1707"/>
      <c r="L1418" s="1704"/>
      <c r="M1418" s="1704"/>
    </row>
    <row r="1419" spans="5:13" ht="15">
      <c r="E1419" s="1645"/>
      <c r="F1419" s="1707"/>
      <c r="G1419" s="1707"/>
      <c r="H1419" s="1707"/>
      <c r="I1419" s="1707"/>
      <c r="J1419" s="1707"/>
      <c r="K1419" s="1707"/>
      <c r="L1419" s="1704"/>
      <c r="M1419" s="1704"/>
    </row>
    <row r="1420" spans="5:13" ht="15">
      <c r="E1420" s="1645"/>
      <c r="F1420" s="1707"/>
      <c r="G1420" s="1707"/>
      <c r="H1420" s="1707"/>
      <c r="I1420" s="1707"/>
      <c r="J1420" s="1707"/>
      <c r="K1420" s="1707"/>
      <c r="L1420" s="1704"/>
      <c r="M1420" s="1704"/>
    </row>
    <row r="1421" spans="5:13" ht="15">
      <c r="E1421" s="1645"/>
      <c r="F1421" s="1707"/>
      <c r="G1421" s="1707"/>
      <c r="H1421" s="1707"/>
      <c r="I1421" s="1707"/>
      <c r="J1421" s="1707"/>
      <c r="K1421" s="1707"/>
      <c r="L1421" s="1704"/>
      <c r="M1421" s="1704"/>
    </row>
    <row r="1422" spans="5:13" ht="15">
      <c r="E1422" s="1645"/>
      <c r="F1422" s="1707"/>
      <c r="G1422" s="1707"/>
      <c r="H1422" s="1707"/>
      <c r="I1422" s="1707"/>
      <c r="J1422" s="1707"/>
      <c r="K1422" s="1707"/>
      <c r="L1422" s="1704"/>
      <c r="M1422" s="1704"/>
    </row>
    <row r="1423" spans="5:13" ht="15">
      <c r="E1423" s="1645"/>
      <c r="F1423" s="1707"/>
      <c r="G1423" s="1707"/>
      <c r="H1423" s="1707"/>
      <c r="I1423" s="1707"/>
      <c r="J1423" s="1707"/>
      <c r="K1423" s="1707"/>
      <c r="L1423" s="1704"/>
      <c r="M1423" s="1704"/>
    </row>
    <row r="1424" spans="5:13" ht="15">
      <c r="E1424" s="1645"/>
      <c r="F1424" s="1707"/>
      <c r="G1424" s="1707"/>
      <c r="H1424" s="1707"/>
      <c r="I1424" s="1707"/>
      <c r="J1424" s="1707"/>
      <c r="K1424" s="1707"/>
      <c r="L1424" s="1704"/>
      <c r="M1424" s="1704"/>
    </row>
    <row r="1425" spans="5:13" ht="15">
      <c r="E1425" s="1645"/>
      <c r="F1425" s="1707"/>
      <c r="G1425" s="1707"/>
      <c r="H1425" s="1707"/>
      <c r="I1425" s="1707"/>
      <c r="J1425" s="1707"/>
      <c r="K1425" s="1707"/>
      <c r="L1425" s="1704"/>
      <c r="M1425" s="1704"/>
    </row>
    <row r="1426" spans="5:13" ht="15">
      <c r="E1426" s="1645"/>
      <c r="F1426" s="1707"/>
      <c r="G1426" s="1707"/>
      <c r="H1426" s="1707"/>
      <c r="I1426" s="1707"/>
      <c r="J1426" s="1707"/>
      <c r="K1426" s="1707"/>
      <c r="L1426" s="1704"/>
      <c r="M1426" s="1704"/>
    </row>
    <row r="1427" spans="5:13" ht="15">
      <c r="E1427" s="1645"/>
      <c r="F1427" s="1707"/>
      <c r="G1427" s="1707"/>
      <c r="H1427" s="1707"/>
      <c r="I1427" s="1707"/>
      <c r="J1427" s="1707"/>
      <c r="K1427" s="1707"/>
      <c r="L1427" s="1704"/>
      <c r="M1427" s="1704"/>
    </row>
    <row r="1428" spans="5:13" ht="15">
      <c r="E1428" s="1645"/>
      <c r="F1428" s="1707"/>
      <c r="G1428" s="1707"/>
      <c r="H1428" s="1707"/>
      <c r="I1428" s="1707"/>
      <c r="J1428" s="1707"/>
      <c r="K1428" s="1707"/>
      <c r="L1428" s="1704"/>
      <c r="M1428" s="1704"/>
    </row>
    <row r="1429" spans="5:13" ht="15">
      <c r="E1429" s="1645"/>
      <c r="F1429" s="1707"/>
      <c r="G1429" s="1707"/>
      <c r="H1429" s="1707"/>
      <c r="I1429" s="1707"/>
      <c r="J1429" s="1707"/>
      <c r="K1429" s="1707"/>
      <c r="L1429" s="1704"/>
      <c r="M1429" s="1704"/>
    </row>
    <row r="1430" spans="5:13" ht="15">
      <c r="E1430" s="1645"/>
      <c r="F1430" s="1707"/>
      <c r="G1430" s="1707"/>
      <c r="H1430" s="1707"/>
      <c r="I1430" s="1707"/>
      <c r="J1430" s="1707"/>
      <c r="K1430" s="1707"/>
      <c r="L1430" s="1704"/>
      <c r="M1430" s="1704"/>
    </row>
    <row r="1431" spans="5:13" ht="15">
      <c r="E1431" s="1645"/>
      <c r="F1431" s="1707"/>
      <c r="G1431" s="1707"/>
      <c r="H1431" s="1707"/>
      <c r="I1431" s="1707"/>
      <c r="J1431" s="1707"/>
      <c r="K1431" s="1707"/>
      <c r="L1431" s="1704"/>
      <c r="M1431" s="1704"/>
    </row>
    <row r="1432" spans="5:13" ht="15">
      <c r="E1432" s="1645"/>
      <c r="F1432" s="1707"/>
      <c r="G1432" s="1707"/>
      <c r="H1432" s="1707"/>
      <c r="I1432" s="1707"/>
      <c r="J1432" s="1707"/>
      <c r="K1432" s="1707"/>
      <c r="L1432" s="1704"/>
      <c r="M1432" s="1704"/>
    </row>
    <row r="1433" spans="5:13" ht="15">
      <c r="E1433" s="1645"/>
      <c r="F1433" s="1707"/>
      <c r="G1433" s="1707"/>
      <c r="H1433" s="1707"/>
      <c r="I1433" s="1707"/>
      <c r="J1433" s="1707"/>
      <c r="K1433" s="1707"/>
      <c r="L1433" s="1704"/>
      <c r="M1433" s="1704"/>
    </row>
    <row r="1434" spans="5:13" ht="15">
      <c r="E1434" s="1645"/>
      <c r="F1434" s="1707"/>
      <c r="G1434" s="1707"/>
      <c r="H1434" s="1707"/>
      <c r="I1434" s="1707"/>
      <c r="J1434" s="1707"/>
      <c r="K1434" s="1707"/>
      <c r="L1434" s="1704"/>
      <c r="M1434" s="1704"/>
    </row>
    <row r="1435" spans="5:13" ht="15">
      <c r="E1435" s="1645"/>
      <c r="F1435" s="1707"/>
      <c r="G1435" s="1707"/>
      <c r="H1435" s="1707"/>
      <c r="I1435" s="1707"/>
      <c r="J1435" s="1707"/>
      <c r="K1435" s="1707"/>
      <c r="L1435" s="1704"/>
      <c r="M1435" s="1704"/>
    </row>
    <row r="1436" spans="5:13" ht="15">
      <c r="E1436" s="1645"/>
      <c r="F1436" s="1707"/>
      <c r="G1436" s="1707"/>
      <c r="H1436" s="1707"/>
      <c r="I1436" s="1707"/>
      <c r="J1436" s="1707"/>
      <c r="K1436" s="1707"/>
      <c r="L1436" s="1704"/>
      <c r="M1436" s="1704"/>
    </row>
    <row r="1437" spans="5:13" ht="15">
      <c r="E1437" s="1645"/>
      <c r="F1437" s="1707"/>
      <c r="G1437" s="1707"/>
      <c r="H1437" s="1707"/>
      <c r="I1437" s="1707"/>
      <c r="J1437" s="1707"/>
      <c r="K1437" s="1707"/>
      <c r="L1437" s="1704"/>
      <c r="M1437" s="1704"/>
    </row>
    <row r="1438" spans="5:13" ht="15">
      <c r="E1438" s="1645"/>
      <c r="F1438" s="1707"/>
      <c r="G1438" s="1707"/>
      <c r="H1438" s="1707"/>
      <c r="I1438" s="1707"/>
      <c r="J1438" s="1707"/>
      <c r="K1438" s="1707"/>
      <c r="L1438" s="1704"/>
      <c r="M1438" s="1704"/>
    </row>
    <row r="1439" spans="5:13" ht="15">
      <c r="E1439" s="1645"/>
      <c r="F1439" s="1707"/>
      <c r="G1439" s="1707"/>
      <c r="H1439" s="1707"/>
      <c r="I1439" s="1707"/>
      <c r="J1439" s="1707"/>
      <c r="K1439" s="1707"/>
      <c r="L1439" s="1704"/>
      <c r="M1439" s="1704"/>
    </row>
    <row r="1440" spans="5:13" ht="15">
      <c r="E1440" s="1645"/>
      <c r="F1440" s="1707"/>
      <c r="G1440" s="1707"/>
      <c r="H1440" s="1707"/>
      <c r="I1440" s="1707"/>
      <c r="J1440" s="1707"/>
      <c r="K1440" s="1707"/>
      <c r="L1440" s="1704"/>
      <c r="M1440" s="1704"/>
    </row>
    <row r="1441" spans="5:13" ht="15">
      <c r="E1441" s="1645"/>
      <c r="F1441" s="1707"/>
      <c r="G1441" s="1707"/>
      <c r="H1441" s="1707"/>
      <c r="I1441" s="1707"/>
      <c r="J1441" s="1707"/>
      <c r="K1441" s="1707"/>
      <c r="L1441" s="1704"/>
      <c r="M1441" s="1704"/>
    </row>
    <row r="1442" spans="5:13" ht="15">
      <c r="E1442" s="1645"/>
      <c r="F1442" s="1707"/>
      <c r="G1442" s="1707"/>
      <c r="H1442" s="1707"/>
      <c r="I1442" s="1707"/>
      <c r="J1442" s="1707"/>
      <c r="K1442" s="1707"/>
      <c r="L1442" s="1704"/>
      <c r="M1442" s="1704"/>
    </row>
    <row r="1443" spans="5:13" ht="15">
      <c r="E1443" s="1645"/>
      <c r="F1443" s="1707"/>
      <c r="G1443" s="1707"/>
      <c r="H1443" s="1707"/>
      <c r="I1443" s="1707"/>
      <c r="J1443" s="1707"/>
      <c r="K1443" s="1707"/>
      <c r="L1443" s="1704"/>
      <c r="M1443" s="1704"/>
    </row>
    <row r="1444" spans="5:13" ht="15">
      <c r="E1444" s="1645"/>
      <c r="F1444" s="1707"/>
      <c r="G1444" s="1707"/>
      <c r="H1444" s="1707"/>
      <c r="I1444" s="1707"/>
      <c r="J1444" s="1707"/>
      <c r="K1444" s="1707"/>
      <c r="L1444" s="1704"/>
      <c r="M1444" s="1704"/>
    </row>
    <row r="1445" spans="5:13" ht="15">
      <c r="E1445" s="1645"/>
      <c r="F1445" s="1707"/>
      <c r="G1445" s="1707"/>
      <c r="H1445" s="1707"/>
      <c r="I1445" s="1707"/>
      <c r="J1445" s="1707"/>
      <c r="K1445" s="1707"/>
      <c r="L1445" s="1704"/>
      <c r="M1445" s="1704"/>
    </row>
    <row r="1446" spans="5:13" ht="15">
      <c r="E1446" s="1645"/>
      <c r="F1446" s="1707"/>
      <c r="G1446" s="1707"/>
      <c r="H1446" s="1707"/>
      <c r="I1446" s="1707"/>
      <c r="J1446" s="1707"/>
      <c r="K1446" s="1707"/>
      <c r="L1446" s="1704"/>
      <c r="M1446" s="1704"/>
    </row>
    <row r="1447" spans="5:13" ht="15">
      <c r="E1447" s="1645"/>
      <c r="F1447" s="1707"/>
      <c r="G1447" s="1707"/>
      <c r="H1447" s="1707"/>
      <c r="I1447" s="1707"/>
      <c r="J1447" s="1707"/>
      <c r="K1447" s="1707"/>
      <c r="L1447" s="1704"/>
      <c r="M1447" s="1704"/>
    </row>
    <row r="1448" spans="5:13" ht="15">
      <c r="E1448" s="1645"/>
      <c r="F1448" s="1707"/>
      <c r="G1448" s="1707"/>
      <c r="H1448" s="1707"/>
      <c r="I1448" s="1707"/>
      <c r="J1448" s="1707"/>
      <c r="K1448" s="1707"/>
      <c r="L1448" s="1704"/>
      <c r="M1448" s="1704"/>
    </row>
    <row r="1449" spans="5:13" ht="15">
      <c r="E1449" s="1645"/>
      <c r="F1449" s="1707"/>
      <c r="G1449" s="1707"/>
      <c r="H1449" s="1707"/>
      <c r="I1449" s="1707"/>
      <c r="J1449" s="1707"/>
      <c r="K1449" s="1707"/>
      <c r="L1449" s="1704"/>
      <c r="M1449" s="1704"/>
    </row>
    <row r="1450" spans="5:13" ht="15">
      <c r="E1450" s="1645"/>
      <c r="F1450" s="1707"/>
      <c r="G1450" s="1707"/>
      <c r="H1450" s="1707"/>
      <c r="I1450" s="1707"/>
      <c r="J1450" s="1707"/>
      <c r="K1450" s="1707"/>
      <c r="L1450" s="1704"/>
      <c r="M1450" s="1704"/>
    </row>
    <row r="1451" spans="5:13" ht="15">
      <c r="E1451" s="1645"/>
      <c r="F1451" s="1707"/>
      <c r="G1451" s="1707"/>
      <c r="H1451" s="1707"/>
      <c r="I1451" s="1707"/>
      <c r="J1451" s="1707"/>
      <c r="K1451" s="1707"/>
      <c r="L1451" s="1704"/>
      <c r="M1451" s="1704"/>
    </row>
    <row r="1452" spans="5:13" ht="15">
      <c r="E1452" s="1645"/>
      <c r="F1452" s="1707"/>
      <c r="G1452" s="1707"/>
      <c r="H1452" s="1707"/>
      <c r="I1452" s="1707"/>
      <c r="J1452" s="1707"/>
      <c r="K1452" s="1707"/>
      <c r="L1452" s="1704"/>
      <c r="M1452" s="1704"/>
    </row>
    <row r="1453" spans="5:13" ht="15">
      <c r="E1453" s="1645"/>
      <c r="F1453" s="1707"/>
      <c r="G1453" s="1707"/>
      <c r="H1453" s="1707"/>
      <c r="I1453" s="1707"/>
      <c r="J1453" s="1707"/>
      <c r="K1453" s="1707"/>
      <c r="L1453" s="1704"/>
      <c r="M1453" s="1704"/>
    </row>
    <row r="1454" spans="5:13" ht="15">
      <c r="E1454" s="1645"/>
      <c r="F1454" s="1707"/>
      <c r="G1454" s="1707"/>
      <c r="H1454" s="1707"/>
      <c r="I1454" s="1707"/>
      <c r="J1454" s="1707"/>
      <c r="K1454" s="1707"/>
      <c r="L1454" s="1704"/>
      <c r="M1454" s="1704"/>
    </row>
    <row r="1455" spans="5:13" ht="15">
      <c r="E1455" s="1645"/>
      <c r="F1455" s="1707"/>
      <c r="G1455" s="1707"/>
      <c r="H1455" s="1707"/>
      <c r="I1455" s="1707"/>
      <c r="J1455" s="1707"/>
      <c r="K1455" s="1707"/>
      <c r="L1455" s="1704"/>
      <c r="M1455" s="1704"/>
    </row>
    <row r="1456" spans="5:13" ht="15">
      <c r="E1456" s="1645"/>
      <c r="F1456" s="1707"/>
      <c r="G1456" s="1707"/>
      <c r="H1456" s="1707"/>
      <c r="I1456" s="1707"/>
      <c r="J1456" s="1707"/>
      <c r="K1456" s="1707"/>
      <c r="L1456" s="1704"/>
      <c r="M1456" s="1704"/>
    </row>
    <row r="1457" spans="5:13" ht="15">
      <c r="E1457" s="1645"/>
      <c r="F1457" s="1707"/>
      <c r="G1457" s="1707"/>
      <c r="H1457" s="1707"/>
      <c r="I1457" s="1707"/>
      <c r="J1457" s="1707"/>
      <c r="K1457" s="1707"/>
      <c r="L1457" s="1704"/>
      <c r="M1457" s="1704"/>
    </row>
    <row r="1458" spans="5:13" ht="15">
      <c r="E1458" s="1645"/>
      <c r="F1458" s="1707"/>
      <c r="G1458" s="1707"/>
      <c r="H1458" s="1707"/>
      <c r="I1458" s="1707"/>
      <c r="J1458" s="1707"/>
      <c r="K1458" s="1707"/>
      <c r="L1458" s="1704"/>
      <c r="M1458" s="1704"/>
    </row>
    <row r="1459" spans="5:13" ht="15">
      <c r="E1459" s="1645"/>
      <c r="F1459" s="1707"/>
      <c r="G1459" s="1707"/>
      <c r="H1459" s="1707"/>
      <c r="I1459" s="1707"/>
      <c r="J1459" s="1707"/>
      <c r="K1459" s="1707"/>
      <c r="L1459" s="1704"/>
      <c r="M1459" s="1704"/>
    </row>
    <row r="1460" spans="5:13" ht="15">
      <c r="E1460" s="1645"/>
      <c r="F1460" s="1707"/>
      <c r="G1460" s="1707"/>
      <c r="H1460" s="1707"/>
      <c r="I1460" s="1707"/>
      <c r="J1460" s="1707"/>
      <c r="K1460" s="1707"/>
      <c r="L1460" s="1704"/>
      <c r="M1460" s="1704"/>
    </row>
    <row r="1461" spans="5:13" ht="15">
      <c r="E1461" s="1645"/>
      <c r="F1461" s="1707"/>
      <c r="G1461" s="1707"/>
      <c r="H1461" s="1707"/>
      <c r="I1461" s="1707"/>
      <c r="J1461" s="1707"/>
      <c r="K1461" s="1707"/>
      <c r="L1461" s="1704"/>
      <c r="M1461" s="1704"/>
    </row>
    <row r="1462" spans="5:13" ht="15">
      <c r="E1462" s="1645"/>
      <c r="F1462" s="1707"/>
      <c r="G1462" s="1707"/>
      <c r="H1462" s="1707"/>
      <c r="I1462" s="1707"/>
      <c r="J1462" s="1707"/>
      <c r="K1462" s="1707"/>
      <c r="L1462" s="1704"/>
      <c r="M1462" s="1704"/>
    </row>
    <row r="1463" spans="5:13" ht="15">
      <c r="E1463" s="1645"/>
      <c r="F1463" s="1707"/>
      <c r="G1463" s="1707"/>
      <c r="H1463" s="1707"/>
      <c r="I1463" s="1707"/>
      <c r="J1463" s="1707"/>
      <c r="K1463" s="1707"/>
      <c r="L1463" s="1704"/>
      <c r="M1463" s="1704"/>
    </row>
    <row r="1464" spans="5:13" ht="15">
      <c r="E1464" s="1645"/>
      <c r="F1464" s="1707"/>
      <c r="G1464" s="1707"/>
      <c r="H1464" s="1707"/>
      <c r="I1464" s="1707"/>
      <c r="J1464" s="1707"/>
      <c r="K1464" s="1707"/>
      <c r="L1464" s="1704"/>
      <c r="M1464" s="1704"/>
    </row>
    <row r="1465" spans="5:13" ht="15">
      <c r="E1465" s="1645"/>
      <c r="F1465" s="1707"/>
      <c r="G1465" s="1707"/>
      <c r="H1465" s="1707"/>
      <c r="I1465" s="1707"/>
      <c r="J1465" s="1707"/>
      <c r="K1465" s="1707"/>
      <c r="L1465" s="1704"/>
      <c r="M1465" s="1704"/>
    </row>
    <row r="1466" spans="5:13" ht="15">
      <c r="E1466" s="1645"/>
      <c r="F1466" s="1707"/>
      <c r="G1466" s="1707"/>
      <c r="H1466" s="1707"/>
      <c r="I1466" s="1707"/>
      <c r="J1466" s="1707"/>
      <c r="K1466" s="1707"/>
      <c r="L1466" s="1704"/>
      <c r="M1466" s="1704"/>
    </row>
    <row r="1467" spans="5:13" ht="15">
      <c r="E1467" s="1645"/>
      <c r="F1467" s="1707"/>
      <c r="G1467" s="1707"/>
      <c r="H1467" s="1707"/>
      <c r="I1467" s="1707"/>
      <c r="J1467" s="1707"/>
      <c r="K1467" s="1707"/>
      <c r="L1467" s="1704"/>
      <c r="M1467" s="1704"/>
    </row>
    <row r="1468" spans="5:13" ht="15">
      <c r="E1468" s="1645"/>
      <c r="F1468" s="1707"/>
      <c r="G1468" s="1707"/>
      <c r="H1468" s="1707"/>
      <c r="I1468" s="1707"/>
      <c r="J1468" s="1707"/>
      <c r="K1468" s="1707"/>
      <c r="L1468" s="1704"/>
      <c r="M1468" s="1704"/>
    </row>
    <row r="1469" spans="5:13" ht="15">
      <c r="E1469" s="1645"/>
      <c r="F1469" s="1707"/>
      <c r="G1469" s="1707"/>
      <c r="H1469" s="1707"/>
      <c r="I1469" s="1707"/>
      <c r="J1469" s="1707"/>
      <c r="K1469" s="1707"/>
      <c r="L1469" s="1704"/>
      <c r="M1469" s="1704"/>
    </row>
    <row r="1470" spans="5:13" ht="15">
      <c r="E1470" s="1645"/>
      <c r="F1470" s="1707"/>
      <c r="G1470" s="1707"/>
      <c r="H1470" s="1707"/>
      <c r="I1470" s="1707"/>
      <c r="J1470" s="1707"/>
      <c r="K1470" s="1707"/>
      <c r="L1470" s="1704"/>
      <c r="M1470" s="1704"/>
    </row>
    <row r="1471" spans="5:13" ht="15">
      <c r="E1471" s="1645"/>
      <c r="F1471" s="1707"/>
      <c r="G1471" s="1707"/>
      <c r="H1471" s="1707"/>
      <c r="I1471" s="1707"/>
      <c r="J1471" s="1707"/>
      <c r="K1471" s="1707"/>
      <c r="L1471" s="1704"/>
      <c r="M1471" s="1704"/>
    </row>
    <row r="1472" spans="5:13" ht="15">
      <c r="E1472" s="1645"/>
      <c r="F1472" s="1707"/>
      <c r="G1472" s="1707"/>
      <c r="H1472" s="1707"/>
      <c r="I1472" s="1707"/>
      <c r="J1472" s="1707"/>
      <c r="K1472" s="1707"/>
      <c r="L1472" s="1704"/>
      <c r="M1472" s="1704"/>
    </row>
    <row r="1473" spans="5:13" ht="15">
      <c r="E1473" s="1645"/>
      <c r="F1473" s="1707"/>
      <c r="G1473" s="1707"/>
      <c r="H1473" s="1707"/>
      <c r="I1473" s="1707"/>
      <c r="J1473" s="1707"/>
      <c r="K1473" s="1707"/>
      <c r="L1473" s="1704"/>
      <c r="M1473" s="1704"/>
    </row>
    <row r="1474" spans="5:13" ht="15">
      <c r="E1474" s="1645"/>
      <c r="F1474" s="1707"/>
      <c r="G1474" s="1707"/>
      <c r="H1474" s="1707"/>
      <c r="I1474" s="1707"/>
      <c r="J1474" s="1707"/>
      <c r="K1474" s="1707"/>
      <c r="L1474" s="1704"/>
      <c r="M1474" s="1704"/>
    </row>
    <row r="1475" spans="5:13" ht="15">
      <c r="E1475" s="1645"/>
      <c r="F1475" s="1707"/>
      <c r="G1475" s="1707"/>
      <c r="H1475" s="1707"/>
      <c r="I1475" s="1707"/>
      <c r="J1475" s="1707"/>
      <c r="K1475" s="1707"/>
      <c r="L1475" s="1704"/>
      <c r="M1475" s="1704"/>
    </row>
    <row r="1476" spans="5:13" ht="15">
      <c r="E1476" s="1645"/>
      <c r="F1476" s="1707"/>
      <c r="G1476" s="1707"/>
      <c r="H1476" s="1707"/>
      <c r="I1476" s="1707"/>
      <c r="J1476" s="1707"/>
      <c r="K1476" s="1707"/>
      <c r="L1476" s="1704"/>
      <c r="M1476" s="1704"/>
    </row>
    <row r="1477" spans="5:13" ht="15">
      <c r="E1477" s="1645"/>
      <c r="F1477" s="1707"/>
      <c r="G1477" s="1707"/>
      <c r="H1477" s="1707"/>
      <c r="I1477" s="1707"/>
      <c r="J1477" s="1707"/>
      <c r="K1477" s="1707"/>
      <c r="L1477" s="1704"/>
      <c r="M1477" s="1704"/>
    </row>
    <row r="1478" spans="5:13" ht="15">
      <c r="E1478" s="1645"/>
      <c r="F1478" s="1707"/>
      <c r="G1478" s="1707"/>
      <c r="H1478" s="1707"/>
      <c r="I1478" s="1707"/>
      <c r="J1478" s="1707"/>
      <c r="K1478" s="1707"/>
      <c r="L1478" s="1704"/>
      <c r="M1478" s="1704"/>
    </row>
    <row r="1479" spans="5:13" ht="15">
      <c r="E1479" s="1645"/>
      <c r="F1479" s="1707"/>
      <c r="G1479" s="1707"/>
      <c r="H1479" s="1707"/>
      <c r="I1479" s="1707"/>
      <c r="J1479" s="1707"/>
      <c r="K1479" s="1707"/>
      <c r="L1479" s="1704"/>
      <c r="M1479" s="1704"/>
    </row>
    <row r="1480" spans="5:13" ht="15">
      <c r="E1480" s="1645"/>
      <c r="F1480" s="1707"/>
      <c r="G1480" s="1707"/>
      <c r="H1480" s="1707"/>
      <c r="I1480" s="1707"/>
      <c r="J1480" s="1707"/>
      <c r="K1480" s="1707"/>
      <c r="L1480" s="1704"/>
      <c r="M1480" s="1704"/>
    </row>
    <row r="1481" spans="5:13" ht="15">
      <c r="E1481" s="1645"/>
      <c r="F1481" s="1707"/>
      <c r="G1481" s="1707"/>
      <c r="H1481" s="1707"/>
      <c r="I1481" s="1707"/>
      <c r="J1481" s="1707"/>
      <c r="K1481" s="1707"/>
      <c r="L1481" s="1704"/>
      <c r="M1481" s="1704"/>
    </row>
    <row r="1482" spans="5:13" ht="15">
      <c r="E1482" s="1645"/>
      <c r="F1482" s="1707"/>
      <c r="G1482" s="1707"/>
      <c r="H1482" s="1707"/>
      <c r="I1482" s="1707"/>
      <c r="J1482" s="1707"/>
      <c r="K1482" s="1707"/>
      <c r="L1482" s="1704"/>
      <c r="M1482" s="1704"/>
    </row>
    <row r="1483" spans="5:13" ht="15">
      <c r="E1483" s="1645"/>
      <c r="F1483" s="1707"/>
      <c r="G1483" s="1707"/>
      <c r="H1483" s="1707"/>
      <c r="I1483" s="1707"/>
      <c r="J1483" s="1707"/>
      <c r="K1483" s="1707"/>
      <c r="L1483" s="1704"/>
      <c r="M1483" s="1704"/>
    </row>
    <row r="1484" spans="5:13" ht="15">
      <c r="E1484" s="1645"/>
      <c r="F1484" s="1707"/>
      <c r="G1484" s="1707"/>
      <c r="H1484" s="1707"/>
      <c r="I1484" s="1707"/>
      <c r="J1484" s="1707"/>
      <c r="K1484" s="1707"/>
      <c r="L1484" s="1704"/>
      <c r="M1484" s="1704"/>
    </row>
    <row r="1485" spans="5:13" ht="15">
      <c r="E1485" s="1645"/>
      <c r="F1485" s="1707"/>
      <c r="G1485" s="1707"/>
      <c r="H1485" s="1707"/>
      <c r="I1485" s="1707"/>
      <c r="J1485" s="1707"/>
      <c r="K1485" s="1707"/>
      <c r="L1485" s="1704"/>
      <c r="M1485" s="1704"/>
    </row>
    <row r="1486" spans="5:13" ht="15">
      <c r="E1486" s="1645"/>
      <c r="F1486" s="1707"/>
      <c r="G1486" s="1707"/>
      <c r="H1486" s="1707"/>
      <c r="I1486" s="1707"/>
      <c r="J1486" s="1707"/>
      <c r="K1486" s="1707"/>
      <c r="L1486" s="1704"/>
      <c r="M1486" s="1704"/>
    </row>
    <row r="1487" spans="5:13" ht="15">
      <c r="E1487" s="1645"/>
      <c r="F1487" s="1707"/>
      <c r="G1487" s="1707"/>
      <c r="H1487" s="1707"/>
      <c r="I1487" s="1707"/>
      <c r="J1487" s="1707"/>
      <c r="K1487" s="1707"/>
      <c r="L1487" s="1704"/>
      <c r="M1487" s="1704"/>
    </row>
    <row r="1488" spans="5:13" ht="15">
      <c r="E1488" s="1645"/>
      <c r="F1488" s="1707"/>
      <c r="G1488" s="1707"/>
      <c r="H1488" s="1707"/>
      <c r="I1488" s="1707"/>
      <c r="J1488" s="1707"/>
      <c r="K1488" s="1707"/>
      <c r="L1488" s="1704"/>
      <c r="M1488" s="1704"/>
    </row>
    <row r="1489" spans="5:13" ht="15">
      <c r="E1489" s="1645"/>
      <c r="F1489" s="1707"/>
      <c r="G1489" s="1707"/>
      <c r="H1489" s="1707"/>
      <c r="I1489" s="1707"/>
      <c r="J1489" s="1707"/>
      <c r="K1489" s="1707"/>
      <c r="L1489" s="1704"/>
      <c r="M1489" s="1704"/>
    </row>
    <row r="1490" spans="5:13" ht="15">
      <c r="E1490" s="1645"/>
      <c r="F1490" s="1707"/>
      <c r="G1490" s="1707"/>
      <c r="H1490" s="1707"/>
      <c r="I1490" s="1707"/>
      <c r="J1490" s="1707"/>
      <c r="K1490" s="1707"/>
      <c r="L1490" s="1704"/>
      <c r="M1490" s="1704"/>
    </row>
    <row r="1491" spans="5:13" ht="15">
      <c r="E1491" s="1645"/>
      <c r="F1491" s="1707"/>
      <c r="G1491" s="1707"/>
      <c r="H1491" s="1707"/>
      <c r="I1491" s="1707"/>
      <c r="J1491" s="1707"/>
      <c r="K1491" s="1707"/>
      <c r="L1491" s="1704"/>
      <c r="M1491" s="1704"/>
    </row>
    <row r="1492" spans="5:13" ht="15">
      <c r="E1492" s="1645"/>
      <c r="F1492" s="1707"/>
      <c r="G1492" s="1707"/>
      <c r="H1492" s="1707"/>
      <c r="I1492" s="1707"/>
      <c r="J1492" s="1707"/>
      <c r="K1492" s="1707"/>
      <c r="L1492" s="1704"/>
      <c r="M1492" s="1704"/>
    </row>
    <row r="1493" spans="5:13" ht="15">
      <c r="E1493" s="1645"/>
      <c r="F1493" s="1707"/>
      <c r="G1493" s="1707"/>
      <c r="H1493" s="1707"/>
      <c r="I1493" s="1707"/>
      <c r="J1493" s="1707"/>
      <c r="K1493" s="1707"/>
      <c r="L1493" s="1704"/>
      <c r="M1493" s="1704"/>
    </row>
    <row r="1494" spans="5:13" ht="15">
      <c r="E1494" s="1645"/>
      <c r="F1494" s="1707"/>
      <c r="G1494" s="1707"/>
      <c r="H1494" s="1707"/>
      <c r="I1494" s="1707"/>
      <c r="J1494" s="1707"/>
      <c r="K1494" s="1707"/>
      <c r="L1494" s="1704"/>
      <c r="M1494" s="1704"/>
    </row>
    <row r="1495" spans="5:13" ht="15">
      <c r="E1495" s="1645"/>
      <c r="F1495" s="1707"/>
      <c r="G1495" s="1707"/>
      <c r="H1495" s="1707"/>
      <c r="I1495" s="1707"/>
      <c r="J1495" s="1707"/>
      <c r="K1495" s="1707"/>
      <c r="L1495" s="1704"/>
      <c r="M1495" s="1704"/>
    </row>
    <row r="1496" spans="5:13" ht="15">
      <c r="E1496" s="1645"/>
      <c r="F1496" s="1707"/>
      <c r="G1496" s="1707"/>
      <c r="H1496" s="1707"/>
      <c r="I1496" s="1707"/>
      <c r="J1496" s="1707"/>
      <c r="K1496" s="1707"/>
      <c r="L1496" s="1704"/>
      <c r="M1496" s="1704"/>
    </row>
    <row r="1497" spans="5:13" ht="15">
      <c r="E1497" s="1645"/>
      <c r="F1497" s="1707"/>
      <c r="G1497" s="1707"/>
      <c r="H1497" s="1707"/>
      <c r="I1497" s="1707"/>
      <c r="J1497" s="1707"/>
      <c r="K1497" s="1707"/>
      <c r="L1497" s="1704"/>
      <c r="M1497" s="1704"/>
    </row>
    <row r="1498" spans="5:13" ht="15">
      <c r="E1498" s="1645"/>
      <c r="F1498" s="1707"/>
      <c r="G1498" s="1707"/>
      <c r="H1498" s="1707"/>
      <c r="I1498" s="1707"/>
      <c r="J1498" s="1707"/>
      <c r="K1498" s="1707"/>
      <c r="L1498" s="1704"/>
      <c r="M1498" s="1704"/>
    </row>
    <row r="1499" spans="5:13" ht="15">
      <c r="E1499" s="1645"/>
      <c r="F1499" s="1707"/>
      <c r="G1499" s="1707"/>
      <c r="H1499" s="1707"/>
      <c r="I1499" s="1707"/>
      <c r="J1499" s="1707"/>
      <c r="K1499" s="1707"/>
      <c r="L1499" s="1704"/>
      <c r="M1499" s="1704"/>
    </row>
    <row r="1500" spans="5:13" ht="15">
      <c r="E1500" s="1645"/>
      <c r="F1500" s="1707"/>
      <c r="G1500" s="1707"/>
      <c r="H1500" s="1707"/>
      <c r="I1500" s="1707"/>
      <c r="J1500" s="1707"/>
      <c r="K1500" s="1707"/>
      <c r="L1500" s="1704"/>
      <c r="M1500" s="1704"/>
    </row>
    <row r="1501" spans="5:13" ht="15">
      <c r="E1501" s="1645"/>
      <c r="F1501" s="1707"/>
      <c r="G1501" s="1707"/>
      <c r="H1501" s="1707"/>
      <c r="I1501" s="1707"/>
      <c r="J1501" s="1707"/>
      <c r="K1501" s="1707"/>
      <c r="L1501" s="1704"/>
      <c r="M1501" s="1704"/>
    </row>
    <row r="1502" spans="5:13" ht="15">
      <c r="E1502" s="1645"/>
      <c r="F1502" s="1707"/>
      <c r="G1502" s="1707"/>
      <c r="H1502" s="1707"/>
      <c r="I1502" s="1707"/>
      <c r="J1502" s="1707"/>
      <c r="K1502" s="1707"/>
      <c r="L1502" s="1704"/>
      <c r="M1502" s="1704"/>
    </row>
    <row r="1503" spans="5:13" ht="15">
      <c r="E1503" s="1645"/>
      <c r="F1503" s="1707"/>
      <c r="G1503" s="1707"/>
      <c r="H1503" s="1707"/>
      <c r="I1503" s="1707"/>
      <c r="J1503" s="1707"/>
      <c r="K1503" s="1707"/>
      <c r="L1503" s="1704"/>
      <c r="M1503" s="1704"/>
    </row>
    <row r="1504" spans="5:13" ht="15">
      <c r="E1504" s="1645"/>
      <c r="F1504" s="1707"/>
      <c r="G1504" s="1707"/>
      <c r="H1504" s="1707"/>
      <c r="I1504" s="1707"/>
      <c r="J1504" s="1707"/>
      <c r="K1504" s="1707"/>
      <c r="L1504" s="1704"/>
      <c r="M1504" s="1704"/>
    </row>
    <row r="1505" spans="5:13" ht="15">
      <c r="E1505" s="1645"/>
      <c r="F1505" s="1707"/>
      <c r="G1505" s="1707"/>
      <c r="H1505" s="1707"/>
      <c r="I1505" s="1707"/>
      <c r="J1505" s="1707"/>
      <c r="K1505" s="1707"/>
      <c r="L1505" s="1704"/>
      <c r="M1505" s="1704"/>
    </row>
    <row r="1506" spans="5:13" ht="15">
      <c r="E1506" s="1645"/>
      <c r="F1506" s="1707"/>
      <c r="G1506" s="1707"/>
      <c r="H1506" s="1707"/>
      <c r="I1506" s="1707"/>
      <c r="J1506" s="1707"/>
      <c r="K1506" s="1707"/>
      <c r="L1506" s="1704"/>
      <c r="M1506" s="1704"/>
    </row>
    <row r="1507" spans="5:13" ht="15">
      <c r="E1507" s="1645"/>
      <c r="F1507" s="1707"/>
      <c r="G1507" s="1707"/>
      <c r="H1507" s="1707"/>
      <c r="I1507" s="1707"/>
      <c r="J1507" s="1707"/>
      <c r="K1507" s="1707"/>
      <c r="L1507" s="1704"/>
      <c r="M1507" s="1704"/>
    </row>
    <row r="1508" spans="5:13" ht="15">
      <c r="E1508" s="1645"/>
      <c r="F1508" s="1707"/>
      <c r="G1508" s="1707"/>
      <c r="H1508" s="1707"/>
      <c r="I1508" s="1707"/>
      <c r="J1508" s="1707"/>
      <c r="K1508" s="1707"/>
      <c r="L1508" s="1704"/>
      <c r="M1508" s="1704"/>
    </row>
    <row r="1509" spans="5:13" ht="15">
      <c r="E1509" s="1645"/>
      <c r="F1509" s="1707"/>
      <c r="G1509" s="1707"/>
      <c r="H1509" s="1707"/>
      <c r="I1509" s="1707"/>
      <c r="J1509" s="1707"/>
      <c r="K1509" s="1707"/>
      <c r="L1509" s="1704"/>
      <c r="M1509" s="1704"/>
    </row>
    <row r="1510" spans="5:13" ht="15">
      <c r="E1510" s="1645"/>
      <c r="F1510" s="1707"/>
      <c r="G1510" s="1707"/>
      <c r="H1510" s="1707"/>
      <c r="I1510" s="1707"/>
      <c r="J1510" s="1707"/>
      <c r="K1510" s="1707"/>
      <c r="L1510" s="1704"/>
      <c r="M1510" s="1704"/>
    </row>
    <row r="1511" spans="5:13" ht="15">
      <c r="E1511" s="1645"/>
      <c r="F1511" s="1707"/>
      <c r="G1511" s="1707"/>
      <c r="H1511" s="1707"/>
      <c r="I1511" s="1707"/>
      <c r="J1511" s="1707"/>
      <c r="K1511" s="1707"/>
      <c r="L1511" s="1704"/>
      <c r="M1511" s="1704"/>
    </row>
    <row r="1512" spans="5:13" ht="15">
      <c r="E1512" s="1645"/>
      <c r="F1512" s="1707"/>
      <c r="G1512" s="1707"/>
      <c r="H1512" s="1707"/>
      <c r="I1512" s="1707"/>
      <c r="J1512" s="1707"/>
      <c r="K1512" s="1707"/>
      <c r="L1512" s="1704"/>
      <c r="M1512" s="1704"/>
    </row>
    <row r="1513" spans="5:13" ht="15">
      <c r="E1513" s="1645"/>
      <c r="F1513" s="1707"/>
      <c r="G1513" s="1707"/>
      <c r="H1513" s="1707"/>
      <c r="I1513" s="1707"/>
      <c r="J1513" s="1707"/>
      <c r="K1513" s="1707"/>
      <c r="L1513" s="1704"/>
      <c r="M1513" s="1704"/>
    </row>
    <row r="1514" spans="5:13" ht="15">
      <c r="E1514" s="1645"/>
      <c r="F1514" s="1707"/>
      <c r="G1514" s="1707"/>
      <c r="H1514" s="1707"/>
      <c r="I1514" s="1707"/>
      <c r="J1514" s="1707"/>
      <c r="K1514" s="1707"/>
      <c r="L1514" s="1704"/>
      <c r="M1514" s="1704"/>
    </row>
    <row r="1515" spans="5:13" ht="15">
      <c r="E1515" s="1645"/>
      <c r="F1515" s="1707"/>
      <c r="G1515" s="1707"/>
      <c r="H1515" s="1707"/>
      <c r="I1515" s="1707"/>
      <c r="J1515" s="1707"/>
      <c r="K1515" s="1707"/>
      <c r="L1515" s="1704"/>
      <c r="M1515" s="1704"/>
    </row>
    <row r="1516" spans="5:13" ht="15">
      <c r="E1516" s="1645"/>
      <c r="F1516" s="1707"/>
      <c r="G1516" s="1707"/>
      <c r="H1516" s="1707"/>
      <c r="I1516" s="1707"/>
      <c r="J1516" s="1707"/>
      <c r="K1516" s="1707"/>
      <c r="L1516" s="1704"/>
      <c r="M1516" s="1704"/>
    </row>
    <row r="1517" spans="5:13" ht="15">
      <c r="E1517" s="1645"/>
      <c r="F1517" s="1707"/>
      <c r="G1517" s="1707"/>
      <c r="H1517" s="1707"/>
      <c r="I1517" s="1707"/>
      <c r="J1517" s="1707"/>
      <c r="K1517" s="1707"/>
      <c r="L1517" s="1704"/>
      <c r="M1517" s="1704"/>
    </row>
    <row r="1518" spans="5:13" ht="15">
      <c r="E1518" s="1645"/>
      <c r="F1518" s="1707"/>
      <c r="G1518" s="1707"/>
      <c r="H1518" s="1707"/>
      <c r="I1518" s="1707"/>
      <c r="J1518" s="1707"/>
      <c r="K1518" s="1707"/>
      <c r="L1518" s="1704"/>
      <c r="M1518" s="1704"/>
    </row>
    <row r="1519" spans="5:13" ht="15">
      <c r="E1519" s="1645"/>
      <c r="F1519" s="1707"/>
      <c r="G1519" s="1707"/>
      <c r="H1519" s="1707"/>
      <c r="I1519" s="1707"/>
      <c r="J1519" s="1707"/>
      <c r="K1519" s="1707"/>
      <c r="L1519" s="1704"/>
      <c r="M1519" s="1704"/>
    </row>
    <row r="1520" spans="5:13" ht="15">
      <c r="E1520" s="1645"/>
      <c r="F1520" s="1707"/>
      <c r="G1520" s="1707"/>
      <c r="H1520" s="1707"/>
      <c r="I1520" s="1707"/>
      <c r="J1520" s="1707"/>
      <c r="K1520" s="1707"/>
      <c r="L1520" s="1704"/>
      <c r="M1520" s="1704"/>
    </row>
    <row r="1521" spans="5:13" ht="15">
      <c r="E1521" s="1645"/>
      <c r="F1521" s="1707"/>
      <c r="G1521" s="1707"/>
      <c r="H1521" s="1707"/>
      <c r="I1521" s="1707"/>
      <c r="J1521" s="1707"/>
      <c r="K1521" s="1707"/>
      <c r="L1521" s="1704"/>
      <c r="M1521" s="1704"/>
    </row>
    <row r="1522" spans="5:13" ht="15">
      <c r="E1522" s="1645"/>
      <c r="F1522" s="1707"/>
      <c r="G1522" s="1707"/>
      <c r="H1522" s="1707"/>
      <c r="I1522" s="1707"/>
      <c r="J1522" s="1707"/>
      <c r="K1522" s="1707"/>
      <c r="L1522" s="1704"/>
      <c r="M1522" s="1704"/>
    </row>
    <row r="1523" spans="5:13" ht="15">
      <c r="E1523" s="1645"/>
      <c r="F1523" s="1707"/>
      <c r="G1523" s="1707"/>
      <c r="H1523" s="1707"/>
      <c r="I1523" s="1707"/>
      <c r="J1523" s="1707"/>
      <c r="K1523" s="1707"/>
      <c r="L1523" s="1704"/>
      <c r="M1523" s="1704"/>
    </row>
    <row r="1524" spans="5:13" ht="15">
      <c r="E1524" s="1645"/>
      <c r="F1524" s="1707"/>
      <c r="G1524" s="1707"/>
      <c r="H1524" s="1707"/>
      <c r="I1524" s="1707"/>
      <c r="J1524" s="1707"/>
      <c r="K1524" s="1707"/>
      <c r="L1524" s="1704"/>
      <c r="M1524" s="1704"/>
    </row>
    <row r="1525" spans="5:13" ht="15">
      <c r="E1525" s="1645"/>
      <c r="F1525" s="1707"/>
      <c r="G1525" s="1707"/>
      <c r="H1525" s="1707"/>
      <c r="I1525" s="1707"/>
      <c r="J1525" s="1707"/>
      <c r="K1525" s="1707"/>
      <c r="L1525" s="1704"/>
      <c r="M1525" s="1704"/>
    </row>
    <row r="1526" spans="5:13" ht="15">
      <c r="E1526" s="1645"/>
      <c r="F1526" s="1707"/>
      <c r="G1526" s="1707"/>
      <c r="H1526" s="1707"/>
      <c r="I1526" s="1707"/>
      <c r="J1526" s="1707"/>
      <c r="K1526" s="1707"/>
      <c r="L1526" s="1704"/>
      <c r="M1526" s="1704"/>
    </row>
    <row r="1527" spans="5:13" ht="15">
      <c r="E1527" s="1645"/>
      <c r="F1527" s="1707"/>
      <c r="G1527" s="1707"/>
      <c r="H1527" s="1707"/>
      <c r="I1527" s="1707"/>
      <c r="J1527" s="1707"/>
      <c r="K1527" s="1707"/>
      <c r="L1527" s="1704"/>
      <c r="M1527" s="1704"/>
    </row>
    <row r="1528" spans="5:13" ht="15">
      <c r="E1528" s="1645"/>
      <c r="F1528" s="1707"/>
      <c r="G1528" s="1707"/>
      <c r="H1528" s="1707"/>
      <c r="I1528" s="1707"/>
      <c r="J1528" s="1707"/>
      <c r="K1528" s="1707"/>
      <c r="L1528" s="1704"/>
      <c r="M1528" s="1704"/>
    </row>
    <row r="1529" spans="5:13" ht="15">
      <c r="E1529" s="1645"/>
      <c r="F1529" s="1707"/>
      <c r="G1529" s="1707"/>
      <c r="H1529" s="1707"/>
      <c r="I1529" s="1707"/>
      <c r="J1529" s="1707"/>
      <c r="K1529" s="1707"/>
      <c r="L1529" s="1704"/>
      <c r="M1529" s="1704"/>
    </row>
    <row r="1530" spans="5:13" ht="15">
      <c r="E1530" s="1645"/>
      <c r="F1530" s="1707"/>
      <c r="G1530" s="1707"/>
      <c r="H1530" s="1707"/>
      <c r="I1530" s="1707"/>
      <c r="J1530" s="1707"/>
      <c r="K1530" s="1707"/>
      <c r="L1530" s="1704"/>
      <c r="M1530" s="1704"/>
    </row>
    <row r="1531" spans="5:13" ht="15">
      <c r="E1531" s="1645"/>
      <c r="F1531" s="1707"/>
      <c r="G1531" s="1707"/>
      <c r="H1531" s="1707"/>
      <c r="I1531" s="1707"/>
      <c r="J1531" s="1707"/>
      <c r="K1531" s="1707"/>
      <c r="L1531" s="1704"/>
      <c r="M1531" s="1704"/>
    </row>
    <row r="1532" spans="5:13" ht="15">
      <c r="E1532" s="1645"/>
      <c r="F1532" s="1707"/>
      <c r="G1532" s="1707"/>
      <c r="H1532" s="1707"/>
      <c r="I1532" s="1707"/>
      <c r="J1532" s="1707"/>
      <c r="K1532" s="1707"/>
      <c r="L1532" s="1704"/>
      <c r="M1532" s="1704"/>
    </row>
    <row r="1533" spans="5:13" ht="15">
      <c r="E1533" s="1645"/>
      <c r="F1533" s="1707"/>
      <c r="G1533" s="1707"/>
      <c r="H1533" s="1707"/>
      <c r="I1533" s="1707"/>
      <c r="J1533" s="1707"/>
      <c r="K1533" s="1707"/>
      <c r="L1533" s="1704"/>
      <c r="M1533" s="1704"/>
    </row>
    <row r="1534" spans="5:13" ht="15">
      <c r="E1534" s="1645"/>
      <c r="F1534" s="1707"/>
      <c r="G1534" s="1707"/>
      <c r="H1534" s="1707"/>
      <c r="I1534" s="1707"/>
      <c r="J1534" s="1707"/>
      <c r="K1534" s="1707"/>
      <c r="L1534" s="1704"/>
      <c r="M1534" s="1704"/>
    </row>
    <row r="1535" spans="5:13" ht="15">
      <c r="E1535" s="1645"/>
      <c r="F1535" s="1707"/>
      <c r="G1535" s="1707"/>
      <c r="H1535" s="1707"/>
      <c r="I1535" s="1707"/>
      <c r="J1535" s="1707"/>
      <c r="K1535" s="1707"/>
      <c r="L1535" s="1704"/>
      <c r="M1535" s="1704"/>
    </row>
    <row r="1536" spans="5:13" ht="15">
      <c r="E1536" s="1645"/>
      <c r="F1536" s="1707"/>
      <c r="G1536" s="1707"/>
      <c r="H1536" s="1707"/>
      <c r="I1536" s="1707"/>
      <c r="J1536" s="1707"/>
      <c r="K1536" s="1707"/>
      <c r="L1536" s="1704"/>
      <c r="M1536" s="1704"/>
    </row>
    <row r="1537" spans="5:13" ht="15">
      <c r="E1537" s="1645"/>
      <c r="F1537" s="1707"/>
      <c r="G1537" s="1707"/>
      <c r="H1537" s="1707"/>
      <c r="I1537" s="1707"/>
      <c r="J1537" s="1707"/>
      <c r="K1537" s="1707"/>
      <c r="L1537" s="1704"/>
      <c r="M1537" s="1704"/>
    </row>
    <row r="1538" spans="5:13" ht="15">
      <c r="E1538" s="1645"/>
      <c r="F1538" s="1707"/>
      <c r="G1538" s="1707"/>
      <c r="H1538" s="1707"/>
      <c r="I1538" s="1707"/>
      <c r="J1538" s="1707"/>
      <c r="K1538" s="1707"/>
      <c r="L1538" s="1704"/>
      <c r="M1538" s="1704"/>
    </row>
    <row r="1539" spans="5:13" ht="15">
      <c r="E1539" s="1645"/>
      <c r="F1539" s="1707"/>
      <c r="G1539" s="1707"/>
      <c r="H1539" s="1707"/>
      <c r="I1539" s="1707"/>
      <c r="J1539" s="1707"/>
      <c r="K1539" s="1707"/>
      <c r="L1539" s="1704"/>
      <c r="M1539" s="1704"/>
    </row>
    <row r="1540" spans="5:13" ht="15">
      <c r="E1540" s="1645"/>
      <c r="F1540" s="1707"/>
      <c r="G1540" s="1707"/>
      <c r="H1540" s="1707"/>
      <c r="I1540" s="1707"/>
      <c r="J1540" s="1707"/>
      <c r="K1540" s="1707"/>
      <c r="L1540" s="1704"/>
      <c r="M1540" s="1704"/>
    </row>
    <row r="1541" spans="5:13" ht="15">
      <c r="E1541" s="1645"/>
      <c r="F1541" s="1707"/>
      <c r="G1541" s="1707"/>
      <c r="H1541" s="1707"/>
      <c r="I1541" s="1707"/>
      <c r="J1541" s="1707"/>
      <c r="K1541" s="1707"/>
      <c r="L1541" s="1704"/>
      <c r="M1541" s="1704"/>
    </row>
    <row r="1542" spans="5:13" ht="15">
      <c r="E1542" s="1645"/>
      <c r="F1542" s="1707"/>
      <c r="G1542" s="1707"/>
      <c r="H1542" s="1707"/>
      <c r="I1542" s="1707"/>
      <c r="J1542" s="1707"/>
      <c r="K1542" s="1707"/>
      <c r="L1542" s="1704"/>
      <c r="M1542" s="1704"/>
    </row>
    <row r="1543" spans="5:13" ht="15">
      <c r="E1543" s="1645"/>
      <c r="F1543" s="1707"/>
      <c r="G1543" s="1707"/>
      <c r="H1543" s="1707"/>
      <c r="I1543" s="1707"/>
      <c r="J1543" s="1707"/>
      <c r="K1543" s="1707"/>
      <c r="L1543" s="1704"/>
      <c r="M1543" s="1704"/>
    </row>
    <row r="1544" spans="5:13" ht="15">
      <c r="E1544" s="1645"/>
      <c r="F1544" s="1707"/>
      <c r="G1544" s="1707"/>
      <c r="H1544" s="1707"/>
      <c r="I1544" s="1707"/>
      <c r="J1544" s="1707"/>
      <c r="K1544" s="1707"/>
      <c r="L1544" s="1704"/>
      <c r="M1544" s="1704"/>
    </row>
    <row r="1545" spans="5:13" ht="15">
      <c r="E1545" s="1645"/>
      <c r="F1545" s="1707"/>
      <c r="G1545" s="1707"/>
      <c r="H1545" s="1707"/>
      <c r="I1545" s="1707"/>
      <c r="J1545" s="1707"/>
      <c r="K1545" s="1707"/>
      <c r="L1545" s="1704"/>
      <c r="M1545" s="1704"/>
    </row>
    <row r="1546" spans="5:13" ht="15">
      <c r="E1546" s="1645"/>
      <c r="F1546" s="1707"/>
      <c r="G1546" s="1707"/>
      <c r="H1546" s="1707"/>
      <c r="I1546" s="1707"/>
      <c r="J1546" s="1707"/>
      <c r="K1546" s="1707"/>
      <c r="L1546" s="1704"/>
      <c r="M1546" s="1704"/>
    </row>
    <row r="1547" spans="5:13" ht="15">
      <c r="E1547" s="1645"/>
      <c r="F1547" s="1707"/>
      <c r="G1547" s="1707"/>
      <c r="H1547" s="1707"/>
      <c r="I1547" s="1707"/>
      <c r="J1547" s="1707"/>
      <c r="K1547" s="1707"/>
      <c r="L1547" s="1704"/>
      <c r="M1547" s="1704"/>
    </row>
    <row r="1548" spans="5:13" ht="15">
      <c r="E1548" s="1645"/>
      <c r="F1548" s="1707"/>
      <c r="G1548" s="1707"/>
      <c r="H1548" s="1707"/>
      <c r="I1548" s="1707"/>
      <c r="J1548" s="1707"/>
      <c r="K1548" s="1707"/>
      <c r="L1548" s="1704"/>
      <c r="M1548" s="1704"/>
    </row>
    <row r="1549" spans="5:13" ht="15">
      <c r="E1549" s="1645"/>
      <c r="F1549" s="1707"/>
      <c r="G1549" s="1707"/>
      <c r="H1549" s="1707"/>
      <c r="I1549" s="1707"/>
      <c r="J1549" s="1707"/>
      <c r="K1549" s="1707"/>
      <c r="L1549" s="1704"/>
      <c r="M1549" s="1704"/>
    </row>
    <row r="1550" spans="5:13" ht="15">
      <c r="E1550" s="1645"/>
      <c r="F1550" s="1707"/>
      <c r="G1550" s="1707"/>
      <c r="H1550" s="1707"/>
      <c r="I1550" s="1707"/>
      <c r="J1550" s="1707"/>
      <c r="K1550" s="1707"/>
      <c r="L1550" s="1704"/>
      <c r="M1550" s="1704"/>
    </row>
    <row r="1551" spans="5:13" ht="15">
      <c r="E1551" s="1645"/>
      <c r="F1551" s="1707"/>
      <c r="G1551" s="1707"/>
      <c r="H1551" s="1707"/>
      <c r="I1551" s="1707"/>
      <c r="J1551" s="1707"/>
      <c r="K1551" s="1707"/>
      <c r="L1551" s="1704"/>
      <c r="M1551" s="1704"/>
    </row>
    <row r="1552" spans="5:13" ht="15">
      <c r="E1552" s="1645"/>
      <c r="F1552" s="1707"/>
      <c r="G1552" s="1707"/>
      <c r="H1552" s="1707"/>
      <c r="I1552" s="1707"/>
      <c r="J1552" s="1707"/>
      <c r="K1552" s="1707"/>
      <c r="L1552" s="1704"/>
      <c r="M1552" s="1704"/>
    </row>
    <row r="1553" spans="5:13" ht="15">
      <c r="E1553" s="1645"/>
      <c r="F1553" s="1707"/>
      <c r="G1553" s="1707"/>
      <c r="H1553" s="1707"/>
      <c r="I1553" s="1707"/>
      <c r="J1553" s="1707"/>
      <c r="K1553" s="1707"/>
      <c r="L1553" s="1704"/>
      <c r="M1553" s="1704"/>
    </row>
    <row r="1554" spans="5:13" ht="15">
      <c r="E1554" s="1645"/>
      <c r="F1554" s="1707"/>
      <c r="G1554" s="1707"/>
      <c r="H1554" s="1707"/>
      <c r="I1554" s="1707"/>
      <c r="J1554" s="1707"/>
      <c r="K1554" s="1707"/>
      <c r="L1554" s="1704"/>
      <c r="M1554" s="1704"/>
    </row>
    <row r="1555" spans="5:13" ht="15">
      <c r="E1555" s="1645"/>
      <c r="F1555" s="1707"/>
      <c r="G1555" s="1707"/>
      <c r="H1555" s="1707"/>
      <c r="I1555" s="1707"/>
      <c r="J1555" s="1707"/>
      <c r="K1555" s="1707"/>
      <c r="L1555" s="1704"/>
      <c r="M1555" s="1704"/>
    </row>
    <row r="1556" spans="5:13" ht="15">
      <c r="E1556" s="1645"/>
      <c r="F1556" s="1707"/>
      <c r="G1556" s="1707"/>
      <c r="H1556" s="1707"/>
      <c r="I1556" s="1707"/>
      <c r="J1556" s="1707"/>
      <c r="K1556" s="1707"/>
      <c r="L1556" s="1704"/>
      <c r="M1556" s="1704"/>
    </row>
    <row r="1557" spans="5:13" ht="15">
      <c r="E1557" s="1645"/>
      <c r="F1557" s="1707"/>
      <c r="G1557" s="1707"/>
      <c r="H1557" s="1707"/>
      <c r="I1557" s="1707"/>
      <c r="J1557" s="1707"/>
      <c r="K1557" s="1707"/>
      <c r="L1557" s="1704"/>
      <c r="M1557" s="1704"/>
    </row>
    <row r="1558" spans="5:13" ht="15">
      <c r="E1558" s="1645"/>
      <c r="F1558" s="1707"/>
      <c r="G1558" s="1707"/>
      <c r="H1558" s="1707"/>
      <c r="I1558" s="1707"/>
      <c r="J1558" s="1707"/>
      <c r="K1558" s="1707"/>
      <c r="L1558" s="1704"/>
      <c r="M1558" s="1704"/>
    </row>
    <row r="1559" spans="5:13" ht="15">
      <c r="E1559" s="1645"/>
      <c r="F1559" s="1707"/>
      <c r="G1559" s="1707"/>
      <c r="H1559" s="1707"/>
      <c r="I1559" s="1707"/>
      <c r="J1559" s="1707"/>
      <c r="K1559" s="1707"/>
      <c r="L1559" s="1704"/>
      <c r="M1559" s="1704"/>
    </row>
    <row r="1560" spans="5:13" ht="15">
      <c r="E1560" s="1645"/>
      <c r="F1560" s="1707"/>
      <c r="G1560" s="1707"/>
      <c r="H1560" s="1707"/>
      <c r="I1560" s="1707"/>
      <c r="J1560" s="1707"/>
      <c r="K1560" s="1707"/>
      <c r="L1560" s="1704"/>
      <c r="M1560" s="1704"/>
    </row>
    <row r="1561" spans="5:13" ht="15">
      <c r="E1561" s="1645"/>
      <c r="F1561" s="1707"/>
      <c r="G1561" s="1707"/>
      <c r="H1561" s="1707"/>
      <c r="I1561" s="1707"/>
      <c r="J1561" s="1707"/>
      <c r="K1561" s="1707"/>
      <c r="L1561" s="1704"/>
      <c r="M1561" s="1704"/>
    </row>
    <row r="1562" spans="5:13" ht="15">
      <c r="E1562" s="1645"/>
      <c r="F1562" s="1707"/>
      <c r="G1562" s="1707"/>
      <c r="H1562" s="1707"/>
      <c r="I1562" s="1707"/>
      <c r="J1562" s="1707"/>
      <c r="K1562" s="1707"/>
      <c r="L1562" s="1704"/>
      <c r="M1562" s="1704"/>
    </row>
    <row r="1563" spans="5:13" ht="15">
      <c r="E1563" s="1645"/>
      <c r="F1563" s="1707"/>
      <c r="G1563" s="1707"/>
      <c r="H1563" s="1707"/>
      <c r="I1563" s="1707"/>
      <c r="J1563" s="1707"/>
      <c r="K1563" s="1707"/>
      <c r="L1563" s="1704"/>
      <c r="M1563" s="1704"/>
    </row>
    <row r="1564" spans="5:13" ht="15">
      <c r="E1564" s="1645"/>
      <c r="F1564" s="1707"/>
      <c r="G1564" s="1707"/>
      <c r="H1564" s="1707"/>
      <c r="I1564" s="1707"/>
      <c r="J1564" s="1707"/>
      <c r="K1564" s="1707"/>
      <c r="L1564" s="1704"/>
      <c r="M1564" s="1704"/>
    </row>
    <row r="1565" spans="5:13" ht="15">
      <c r="E1565" s="1645"/>
      <c r="F1565" s="1707"/>
      <c r="G1565" s="1707"/>
      <c r="H1565" s="1707"/>
      <c r="I1565" s="1707"/>
      <c r="J1565" s="1707"/>
      <c r="K1565" s="1707"/>
      <c r="L1565" s="1704"/>
      <c r="M1565" s="1704"/>
    </row>
    <row r="1566" spans="5:13" ht="15">
      <c r="E1566" s="1645"/>
      <c r="F1566" s="1707"/>
      <c r="G1566" s="1707"/>
      <c r="H1566" s="1707"/>
      <c r="I1566" s="1707"/>
      <c r="J1566" s="1707"/>
      <c r="K1566" s="1707"/>
      <c r="L1566" s="1704"/>
      <c r="M1566" s="1704"/>
    </row>
    <row r="1567" spans="5:13" ht="15">
      <c r="E1567" s="1645"/>
      <c r="F1567" s="1707"/>
      <c r="G1567" s="1707"/>
      <c r="H1567" s="1707"/>
      <c r="I1567" s="1707"/>
      <c r="J1567" s="1707"/>
      <c r="K1567" s="1707"/>
      <c r="L1567" s="1704"/>
      <c r="M1567" s="1704"/>
    </row>
    <row r="1568" spans="5:13" ht="15">
      <c r="E1568" s="1645"/>
      <c r="F1568" s="1707"/>
      <c r="G1568" s="1707"/>
      <c r="H1568" s="1707"/>
      <c r="I1568" s="1707"/>
      <c r="J1568" s="1707"/>
      <c r="K1568" s="1707"/>
      <c r="L1568" s="1704"/>
      <c r="M1568" s="1704"/>
    </row>
    <row r="1569" spans="5:13" ht="15">
      <c r="E1569" s="1645"/>
      <c r="F1569" s="1707"/>
      <c r="G1569" s="1707"/>
      <c r="H1569" s="1707"/>
      <c r="I1569" s="1707"/>
      <c r="J1569" s="1707"/>
      <c r="K1569" s="1707"/>
      <c r="L1569" s="1704"/>
      <c r="M1569" s="1704"/>
    </row>
    <row r="1570" spans="5:13" ht="15">
      <c r="E1570" s="1645"/>
      <c r="F1570" s="1707"/>
      <c r="G1570" s="1707"/>
      <c r="H1570" s="1707"/>
      <c r="I1570" s="1707"/>
      <c r="J1570" s="1707"/>
      <c r="K1570" s="1707"/>
      <c r="L1570" s="1704"/>
      <c r="M1570" s="1704"/>
    </row>
    <row r="1571" spans="5:13" ht="15">
      <c r="E1571" s="1645"/>
      <c r="F1571" s="1707"/>
      <c r="G1571" s="1707"/>
      <c r="H1571" s="1707"/>
      <c r="I1571" s="1707"/>
      <c r="J1571" s="1707"/>
      <c r="K1571" s="1707"/>
      <c r="L1571" s="1704"/>
      <c r="M1571" s="1704"/>
    </row>
    <row r="1572" spans="5:13" ht="15">
      <c r="E1572" s="1645"/>
      <c r="F1572" s="1707"/>
      <c r="G1572" s="1707"/>
      <c r="H1572" s="1707"/>
      <c r="I1572" s="1707"/>
      <c r="J1572" s="1707"/>
      <c r="K1572" s="1707"/>
      <c r="L1572" s="1704"/>
      <c r="M1572" s="1704"/>
    </row>
    <row r="1573" spans="5:13" ht="15">
      <c r="E1573" s="1645"/>
      <c r="F1573" s="1707"/>
      <c r="G1573" s="1707"/>
      <c r="H1573" s="1707"/>
      <c r="I1573" s="1707"/>
      <c r="J1573" s="1707"/>
      <c r="K1573" s="1707"/>
      <c r="L1573" s="1704"/>
      <c r="M1573" s="1704"/>
    </row>
    <row r="1574" spans="5:13" ht="15">
      <c r="E1574" s="1645"/>
      <c r="F1574" s="1707"/>
      <c r="G1574" s="1707"/>
      <c r="H1574" s="1707"/>
      <c r="I1574" s="1707"/>
      <c r="J1574" s="1707"/>
      <c r="K1574" s="1707"/>
      <c r="L1574" s="1704"/>
      <c r="M1574" s="1704"/>
    </row>
    <row r="1575" spans="5:13" ht="15">
      <c r="E1575" s="1645"/>
      <c r="F1575" s="1707"/>
      <c r="G1575" s="1707"/>
      <c r="H1575" s="1707"/>
      <c r="I1575" s="1707"/>
      <c r="J1575" s="1707"/>
      <c r="K1575" s="1707"/>
      <c r="L1575" s="1704"/>
      <c r="M1575" s="1704"/>
    </row>
    <row r="1576" spans="5:13" ht="15">
      <c r="E1576" s="1645"/>
      <c r="F1576" s="1707"/>
      <c r="G1576" s="1707"/>
      <c r="H1576" s="1707"/>
      <c r="I1576" s="1707"/>
      <c r="J1576" s="1707"/>
      <c r="K1576" s="1707"/>
      <c r="L1576" s="1704"/>
      <c r="M1576" s="1704"/>
    </row>
    <row r="1577" spans="5:13" ht="15">
      <c r="E1577" s="1645"/>
      <c r="F1577" s="1707"/>
      <c r="G1577" s="1707"/>
      <c r="H1577" s="1707"/>
      <c r="I1577" s="1707"/>
      <c r="J1577" s="1707"/>
      <c r="K1577" s="1707"/>
      <c r="L1577" s="1704"/>
      <c r="M1577" s="1704"/>
    </row>
    <row r="1578" spans="5:13" ht="15">
      <c r="E1578" s="1645"/>
      <c r="F1578" s="1707"/>
      <c r="G1578" s="1707"/>
      <c r="H1578" s="1707"/>
      <c r="I1578" s="1707"/>
      <c r="J1578" s="1707"/>
      <c r="K1578" s="1707"/>
      <c r="L1578" s="1704"/>
      <c r="M1578" s="1704"/>
    </row>
    <row r="1579" spans="5:13" ht="15">
      <c r="E1579" s="1645"/>
      <c r="F1579" s="1707"/>
      <c r="G1579" s="1707"/>
      <c r="H1579" s="1707"/>
      <c r="I1579" s="1707"/>
      <c r="J1579" s="1707"/>
      <c r="K1579" s="1707"/>
      <c r="L1579" s="1704"/>
      <c r="M1579" s="1704"/>
    </row>
    <row r="1580" spans="5:13" ht="15">
      <c r="E1580" s="1645"/>
      <c r="F1580" s="1707"/>
      <c r="G1580" s="1707"/>
      <c r="H1580" s="1707"/>
      <c r="I1580" s="1707"/>
      <c r="J1580" s="1707"/>
      <c r="K1580" s="1707"/>
      <c r="L1580" s="1704"/>
      <c r="M1580" s="1704"/>
    </row>
    <row r="1581" spans="5:13" ht="15">
      <c r="E1581" s="1645"/>
      <c r="F1581" s="1707"/>
      <c r="G1581" s="1707"/>
      <c r="H1581" s="1707"/>
      <c r="I1581" s="1707"/>
      <c r="J1581" s="1707"/>
      <c r="K1581" s="1707"/>
      <c r="L1581" s="1704"/>
      <c r="M1581" s="1704"/>
    </row>
    <row r="1582" spans="5:13" ht="15">
      <c r="E1582" s="1645"/>
      <c r="F1582" s="1707"/>
      <c r="G1582" s="1707"/>
      <c r="H1582" s="1707"/>
      <c r="I1582" s="1707"/>
      <c r="J1582" s="1707"/>
      <c r="K1582" s="1707"/>
      <c r="L1582" s="1704"/>
      <c r="M1582" s="1704"/>
    </row>
    <row r="1583" spans="5:13" ht="15">
      <c r="E1583" s="1645"/>
      <c r="F1583" s="1707"/>
      <c r="G1583" s="1707"/>
      <c r="H1583" s="1707"/>
      <c r="I1583" s="1707"/>
      <c r="J1583" s="1707"/>
      <c r="K1583" s="1707"/>
      <c r="L1583" s="1704"/>
      <c r="M1583" s="1704"/>
    </row>
    <row r="1584" spans="5:13" ht="15">
      <c r="E1584" s="1645"/>
      <c r="F1584" s="1707"/>
      <c r="G1584" s="1707"/>
      <c r="H1584" s="1707"/>
      <c r="I1584" s="1707"/>
      <c r="J1584" s="1707"/>
      <c r="K1584" s="1707"/>
      <c r="L1584" s="1704"/>
      <c r="M1584" s="1704"/>
    </row>
    <row r="1585" spans="5:13" ht="15">
      <c r="E1585" s="1645"/>
      <c r="F1585" s="1707"/>
      <c r="G1585" s="1707"/>
      <c r="H1585" s="1707"/>
      <c r="I1585" s="1707"/>
      <c r="J1585" s="1707"/>
      <c r="K1585" s="1707"/>
      <c r="L1585" s="1704"/>
      <c r="M1585" s="1704"/>
    </row>
    <row r="1586" spans="5:13" ht="15">
      <c r="E1586" s="1645"/>
      <c r="F1586" s="1707"/>
      <c r="G1586" s="1707"/>
      <c r="H1586" s="1707"/>
      <c r="I1586" s="1707"/>
      <c r="J1586" s="1707"/>
      <c r="K1586" s="1707"/>
      <c r="L1586" s="1704"/>
      <c r="M1586" s="1704"/>
    </row>
    <row r="1587" spans="5:13" ht="15">
      <c r="E1587" s="1645"/>
      <c r="F1587" s="1707"/>
      <c r="G1587" s="1707"/>
      <c r="H1587" s="1707"/>
      <c r="I1587" s="1707"/>
      <c r="J1587" s="1707"/>
      <c r="K1587" s="1707"/>
      <c r="L1587" s="1704"/>
      <c r="M1587" s="1704"/>
    </row>
    <row r="1588" spans="5:13" ht="15">
      <c r="E1588" s="1645"/>
      <c r="F1588" s="1707"/>
      <c r="G1588" s="1707"/>
      <c r="H1588" s="1707"/>
      <c r="I1588" s="1707"/>
      <c r="J1588" s="1707"/>
      <c r="K1588" s="1707"/>
      <c r="L1588" s="1704"/>
      <c r="M1588" s="1704"/>
    </row>
    <row r="1589" spans="5:13" ht="15">
      <c r="E1589" s="1645"/>
      <c r="F1589" s="1707"/>
      <c r="G1589" s="1707"/>
      <c r="H1589" s="1707"/>
      <c r="I1589" s="1707"/>
      <c r="J1589" s="1707"/>
      <c r="K1589" s="1707"/>
      <c r="L1589" s="1704"/>
      <c r="M1589" s="1704"/>
    </row>
    <row r="1590" spans="5:13" ht="15">
      <c r="E1590" s="1645"/>
      <c r="F1590" s="1707"/>
      <c r="G1590" s="1707"/>
      <c r="H1590" s="1707"/>
      <c r="I1590" s="1707"/>
      <c r="J1590" s="1707"/>
      <c r="K1590" s="1707"/>
      <c r="L1590" s="1704"/>
      <c r="M1590" s="1704"/>
    </row>
    <row r="1591" spans="5:13" ht="15">
      <c r="E1591" s="1645"/>
      <c r="F1591" s="1707"/>
      <c r="G1591" s="1707"/>
      <c r="H1591" s="1707"/>
      <c r="I1591" s="1707"/>
      <c r="J1591" s="1707"/>
      <c r="K1591" s="1707"/>
      <c r="L1591" s="1704"/>
      <c r="M1591" s="1704"/>
    </row>
    <row r="1592" spans="5:13" ht="15">
      <c r="E1592" s="1645"/>
      <c r="F1592" s="1707"/>
      <c r="G1592" s="1707"/>
      <c r="H1592" s="1707"/>
      <c r="I1592" s="1707"/>
      <c r="J1592" s="1707"/>
      <c r="K1592" s="1707"/>
      <c r="L1592" s="1704"/>
      <c r="M1592" s="1704"/>
    </row>
    <row r="1593" spans="5:13" ht="15">
      <c r="E1593" s="1645"/>
      <c r="F1593" s="1707"/>
      <c r="G1593" s="1707"/>
      <c r="H1593" s="1707"/>
      <c r="I1593" s="1707"/>
      <c r="J1593" s="1707"/>
      <c r="K1593" s="1707"/>
      <c r="L1593" s="1704"/>
      <c r="M1593" s="1704"/>
    </row>
    <row r="1594" spans="5:13" ht="15">
      <c r="E1594" s="1645"/>
      <c r="F1594" s="1707"/>
      <c r="G1594" s="1707"/>
      <c r="H1594" s="1707"/>
      <c r="I1594" s="1707"/>
      <c r="J1594" s="1707"/>
      <c r="K1594" s="1707"/>
      <c r="L1594" s="1704"/>
      <c r="M1594" s="1704"/>
    </row>
    <row r="1595" spans="5:13" ht="15">
      <c r="E1595" s="1645"/>
      <c r="F1595" s="1707"/>
      <c r="G1595" s="1707"/>
      <c r="H1595" s="1707"/>
      <c r="I1595" s="1707"/>
      <c r="J1595" s="1707"/>
      <c r="K1595" s="1707"/>
      <c r="L1595" s="1704"/>
      <c r="M1595" s="1704"/>
    </row>
    <row r="1596" spans="5:13" ht="15">
      <c r="E1596" s="1645"/>
      <c r="F1596" s="1707"/>
      <c r="G1596" s="1707"/>
      <c r="H1596" s="1707"/>
      <c r="I1596" s="1707"/>
      <c r="J1596" s="1707"/>
      <c r="K1596" s="1707"/>
      <c r="L1596" s="1704"/>
      <c r="M1596" s="1704"/>
    </row>
    <row r="1597" spans="5:13" ht="15">
      <c r="E1597" s="1645"/>
      <c r="F1597" s="1707"/>
      <c r="G1597" s="1707"/>
      <c r="H1597" s="1707"/>
      <c r="I1597" s="1707"/>
      <c r="J1597" s="1707"/>
      <c r="K1597" s="1707"/>
      <c r="L1597" s="1704"/>
      <c r="M1597" s="1704"/>
    </row>
    <row r="1598" spans="5:13" ht="15">
      <c r="E1598" s="1645"/>
      <c r="F1598" s="1707"/>
      <c r="G1598" s="1707"/>
      <c r="H1598" s="1707"/>
      <c r="I1598" s="1707"/>
      <c r="J1598" s="1707"/>
      <c r="K1598" s="1707"/>
      <c r="L1598" s="1704"/>
      <c r="M1598" s="1704"/>
    </row>
    <row r="1599" spans="5:13" ht="15">
      <c r="E1599" s="1645"/>
      <c r="F1599" s="1707"/>
      <c r="G1599" s="1707"/>
      <c r="H1599" s="1707"/>
      <c r="I1599" s="1707"/>
      <c r="J1599" s="1707"/>
      <c r="K1599" s="1707"/>
      <c r="L1599" s="1704"/>
      <c r="M1599" s="1704"/>
    </row>
    <row r="1600" spans="5:13" ht="15">
      <c r="E1600" s="1645"/>
      <c r="F1600" s="1707"/>
      <c r="G1600" s="1707"/>
      <c r="H1600" s="1707"/>
      <c r="I1600" s="1707"/>
      <c r="J1600" s="1707"/>
      <c r="K1600" s="1707"/>
      <c r="L1600" s="1704"/>
      <c r="M1600" s="1704"/>
    </row>
    <row r="1601" spans="5:13" ht="15">
      <c r="E1601" s="1645"/>
      <c r="F1601" s="1707"/>
      <c r="G1601" s="1707"/>
      <c r="H1601" s="1707"/>
      <c r="I1601" s="1707"/>
      <c r="J1601" s="1707"/>
      <c r="K1601" s="1707"/>
      <c r="L1601" s="1704"/>
      <c r="M1601" s="1704"/>
    </row>
    <row r="1602" spans="5:13" ht="15">
      <c r="E1602" s="1645"/>
      <c r="F1602" s="1707"/>
      <c r="G1602" s="1707"/>
      <c r="H1602" s="1707"/>
      <c r="I1602" s="1707"/>
      <c r="J1602" s="1707"/>
      <c r="K1602" s="1707"/>
      <c r="L1602" s="1704"/>
      <c r="M1602" s="1704"/>
    </row>
    <row r="1603" spans="5:13" ht="15">
      <c r="E1603" s="1645"/>
      <c r="F1603" s="1707"/>
      <c r="G1603" s="1707"/>
      <c r="H1603" s="1707"/>
      <c r="I1603" s="1707"/>
      <c r="J1603" s="1707"/>
      <c r="K1603" s="1707"/>
      <c r="L1603" s="1704"/>
      <c r="M1603" s="1704"/>
    </row>
    <row r="1604" spans="5:13" ht="15">
      <c r="E1604" s="1645"/>
      <c r="F1604" s="1707"/>
      <c r="G1604" s="1707"/>
      <c r="H1604" s="1707"/>
      <c r="I1604" s="1707"/>
      <c r="J1604" s="1707"/>
      <c r="K1604" s="1707"/>
      <c r="L1604" s="1704"/>
      <c r="M1604" s="1704"/>
    </row>
    <row r="1605" spans="5:13" ht="15">
      <c r="E1605" s="1645"/>
      <c r="F1605" s="1707"/>
      <c r="G1605" s="1707"/>
      <c r="H1605" s="1707"/>
      <c r="I1605" s="1707"/>
      <c r="J1605" s="1707"/>
      <c r="K1605" s="1707"/>
      <c r="L1605" s="1704"/>
      <c r="M1605" s="1704"/>
    </row>
    <row r="1606" spans="5:13" ht="15">
      <c r="E1606" s="1645"/>
      <c r="F1606" s="1707"/>
      <c r="G1606" s="1707"/>
      <c r="H1606" s="1707"/>
      <c r="I1606" s="1707"/>
      <c r="J1606" s="1707"/>
      <c r="K1606" s="1707"/>
      <c r="L1606" s="1704"/>
      <c r="M1606" s="1704"/>
    </row>
    <row r="1607" spans="5:13" ht="15">
      <c r="E1607" s="1645"/>
      <c r="F1607" s="1707"/>
      <c r="G1607" s="1707"/>
      <c r="H1607" s="1707"/>
      <c r="I1607" s="1707"/>
      <c r="J1607" s="1707"/>
      <c r="K1607" s="1707"/>
      <c r="L1607" s="1704"/>
      <c r="M1607" s="1704"/>
    </row>
    <row r="1608" spans="5:13" ht="15">
      <c r="E1608" s="1645"/>
      <c r="F1608" s="1707"/>
      <c r="G1608" s="1707"/>
      <c r="H1608" s="1707"/>
      <c r="I1608" s="1707"/>
      <c r="J1608" s="1707"/>
      <c r="K1608" s="1707"/>
      <c r="L1608" s="1704"/>
      <c r="M1608" s="1704"/>
    </row>
    <row r="1609" spans="5:13" ht="15">
      <c r="E1609" s="1645"/>
      <c r="F1609" s="1707"/>
      <c r="G1609" s="1707"/>
      <c r="H1609" s="1707"/>
      <c r="I1609" s="1707"/>
      <c r="J1609" s="1707"/>
      <c r="K1609" s="1707"/>
      <c r="L1609" s="1704"/>
      <c r="M1609" s="1704"/>
    </row>
    <row r="1610" spans="5:13" ht="15">
      <c r="E1610" s="1645"/>
      <c r="F1610" s="1707"/>
      <c r="G1610" s="1707"/>
      <c r="H1610" s="1707"/>
      <c r="I1610" s="1707"/>
      <c r="J1610" s="1707"/>
      <c r="K1610" s="1707"/>
      <c r="L1610" s="1704"/>
      <c r="M1610" s="1704"/>
    </row>
    <row r="1611" spans="5:13" ht="15">
      <c r="E1611" s="1645"/>
      <c r="F1611" s="1707"/>
      <c r="G1611" s="1707"/>
      <c r="H1611" s="1707"/>
      <c r="I1611" s="1707"/>
      <c r="J1611" s="1707"/>
      <c r="K1611" s="1707"/>
      <c r="L1611" s="1704"/>
      <c r="M1611" s="1704"/>
    </row>
    <row r="1612" spans="5:13" ht="15">
      <c r="E1612" s="1645"/>
      <c r="F1612" s="1707"/>
      <c r="G1612" s="1707"/>
      <c r="H1612" s="1707"/>
      <c r="I1612" s="1707"/>
      <c r="J1612" s="1707"/>
      <c r="K1612" s="1707"/>
      <c r="L1612" s="1704"/>
      <c r="M1612" s="1704"/>
    </row>
    <row r="1613" spans="5:13" ht="15">
      <c r="E1613" s="1645"/>
      <c r="F1613" s="1707"/>
      <c r="G1613" s="1707"/>
      <c r="H1613" s="1707"/>
      <c r="I1613" s="1707"/>
      <c r="J1613" s="1707"/>
      <c r="K1613" s="1707"/>
      <c r="L1613" s="1704"/>
      <c r="M1613" s="1704"/>
    </row>
    <row r="1614" spans="5:13" ht="15">
      <c r="E1614" s="1645"/>
      <c r="F1614" s="1707"/>
      <c r="G1614" s="1707"/>
      <c r="H1614" s="1707"/>
      <c r="I1614" s="1707"/>
      <c r="J1614" s="1707"/>
      <c r="K1614" s="1707"/>
      <c r="L1614" s="1704"/>
      <c r="M1614" s="1704"/>
    </row>
    <row r="1615" spans="5:13" ht="15">
      <c r="E1615" s="1645"/>
      <c r="F1615" s="1707"/>
      <c r="G1615" s="1707"/>
      <c r="H1615" s="1707"/>
      <c r="I1615" s="1707"/>
      <c r="J1615" s="1707"/>
      <c r="K1615" s="1707"/>
      <c r="L1615" s="1704"/>
      <c r="M1615" s="1704"/>
    </row>
    <row r="1616" spans="5:13" ht="15">
      <c r="E1616" s="1645"/>
      <c r="F1616" s="1707"/>
      <c r="G1616" s="1707"/>
      <c r="H1616" s="1707"/>
      <c r="I1616" s="1707"/>
      <c r="J1616" s="1707"/>
      <c r="K1616" s="1707"/>
      <c r="L1616" s="1704"/>
      <c r="M1616" s="1704"/>
    </row>
    <row r="1617" spans="5:13" ht="15">
      <c r="E1617" s="1645"/>
      <c r="F1617" s="1707"/>
      <c r="G1617" s="1707"/>
      <c r="H1617" s="1707"/>
      <c r="I1617" s="1707"/>
      <c r="J1617" s="1707"/>
      <c r="K1617" s="1707"/>
      <c r="L1617" s="1704"/>
      <c r="M1617" s="1704"/>
    </row>
    <row r="1618" spans="5:13" ht="15">
      <c r="E1618" s="1645"/>
      <c r="F1618" s="1707"/>
      <c r="G1618" s="1707"/>
      <c r="H1618" s="1707"/>
      <c r="I1618" s="1707"/>
      <c r="J1618" s="1707"/>
      <c r="K1618" s="1707"/>
      <c r="L1618" s="1704"/>
      <c r="M1618" s="1704"/>
    </row>
    <row r="1619" spans="5:13" ht="15">
      <c r="E1619" s="1645"/>
      <c r="F1619" s="1707"/>
      <c r="G1619" s="1707"/>
      <c r="H1619" s="1707"/>
      <c r="I1619" s="1707"/>
      <c r="J1619" s="1707"/>
      <c r="K1619" s="1707"/>
      <c r="L1619" s="1704"/>
      <c r="M1619" s="1704"/>
    </row>
    <row r="1620" spans="5:13" ht="15">
      <c r="E1620" s="1645"/>
      <c r="F1620" s="1707"/>
      <c r="G1620" s="1707"/>
      <c r="H1620" s="1707"/>
      <c r="I1620" s="1707"/>
      <c r="J1620" s="1707"/>
      <c r="K1620" s="1707"/>
      <c r="L1620" s="1704"/>
      <c r="M1620" s="1704"/>
    </row>
    <row r="1621" spans="5:13" ht="15">
      <c r="E1621" s="1645"/>
      <c r="F1621" s="1707"/>
      <c r="G1621" s="1707"/>
      <c r="H1621" s="1707"/>
      <c r="I1621" s="1707"/>
      <c r="J1621" s="1707"/>
      <c r="K1621" s="1707"/>
      <c r="L1621" s="1704"/>
      <c r="M1621" s="1704"/>
    </row>
    <row r="1622" spans="5:13" ht="15">
      <c r="E1622" s="1645"/>
      <c r="F1622" s="1707"/>
      <c r="G1622" s="1707"/>
      <c r="H1622" s="1707"/>
      <c r="I1622" s="1707"/>
      <c r="J1622" s="1707"/>
      <c r="K1622" s="1707"/>
      <c r="L1622" s="1704"/>
      <c r="M1622" s="1704"/>
    </row>
    <row r="1623" spans="5:13" ht="15">
      <c r="E1623" s="1645"/>
      <c r="F1623" s="1707"/>
      <c r="G1623" s="1707"/>
      <c r="H1623" s="1707"/>
      <c r="I1623" s="1707"/>
      <c r="J1623" s="1707"/>
      <c r="K1623" s="1707"/>
      <c r="L1623" s="1704"/>
      <c r="M1623" s="1704"/>
    </row>
    <row r="1624" spans="5:13" ht="15">
      <c r="E1624" s="1645"/>
      <c r="F1624" s="1707"/>
      <c r="G1624" s="1707"/>
      <c r="H1624" s="1707"/>
      <c r="I1624" s="1707"/>
      <c r="J1624" s="1707"/>
      <c r="K1624" s="1707"/>
      <c r="L1624" s="1704"/>
      <c r="M1624" s="1704"/>
    </row>
    <row r="1625" spans="5:13" ht="15">
      <c r="E1625" s="1645"/>
      <c r="F1625" s="1707"/>
      <c r="G1625" s="1707"/>
      <c r="H1625" s="1707"/>
      <c r="I1625" s="1707"/>
      <c r="J1625" s="1707"/>
      <c r="K1625" s="1707"/>
      <c r="L1625" s="1704"/>
      <c r="M1625" s="1704"/>
    </row>
    <row r="1626" spans="5:13" ht="15">
      <c r="E1626" s="1645"/>
      <c r="F1626" s="1707"/>
      <c r="G1626" s="1707"/>
      <c r="H1626" s="1707"/>
      <c r="I1626" s="1707"/>
      <c r="J1626" s="1707"/>
      <c r="K1626" s="1707"/>
      <c r="L1626" s="1704"/>
      <c r="M1626" s="1704"/>
    </row>
    <row r="1627" spans="5:13" ht="15">
      <c r="E1627" s="1645"/>
      <c r="F1627" s="1707"/>
      <c r="G1627" s="1707"/>
      <c r="H1627" s="1707"/>
      <c r="I1627" s="1707"/>
      <c r="J1627" s="1707"/>
      <c r="K1627" s="1707"/>
      <c r="L1627" s="1704"/>
      <c r="M1627" s="1704"/>
    </row>
    <row r="1628" spans="5:13" ht="15">
      <c r="E1628" s="1645"/>
      <c r="F1628" s="1707"/>
      <c r="G1628" s="1707"/>
      <c r="H1628" s="1707"/>
      <c r="I1628" s="1707"/>
      <c r="J1628" s="1707"/>
      <c r="K1628" s="1707"/>
      <c r="L1628" s="1704"/>
      <c r="M1628" s="1704"/>
    </row>
    <row r="1629" spans="5:13" ht="15">
      <c r="E1629" s="1645"/>
      <c r="F1629" s="1707"/>
      <c r="G1629" s="1707"/>
      <c r="H1629" s="1707"/>
      <c r="I1629" s="1707"/>
      <c r="J1629" s="1707"/>
      <c r="K1629" s="1707"/>
      <c r="L1629" s="1704"/>
      <c r="M1629" s="1704"/>
    </row>
    <row r="1630" spans="5:13" ht="15">
      <c r="E1630" s="1645"/>
      <c r="F1630" s="1707"/>
      <c r="G1630" s="1707"/>
      <c r="H1630" s="1707"/>
      <c r="I1630" s="1707"/>
      <c r="J1630" s="1707"/>
      <c r="K1630" s="1707"/>
      <c r="L1630" s="1704"/>
      <c r="M1630" s="1704"/>
    </row>
    <row r="1631" spans="5:13" ht="15">
      <c r="E1631" s="1645"/>
      <c r="F1631" s="1707"/>
      <c r="G1631" s="1707"/>
      <c r="H1631" s="1707"/>
      <c r="I1631" s="1707"/>
      <c r="J1631" s="1707"/>
      <c r="K1631" s="1707"/>
      <c r="L1631" s="1704"/>
      <c r="M1631" s="1704"/>
    </row>
    <row r="1632" spans="5:13" ht="15">
      <c r="E1632" s="1645"/>
      <c r="F1632" s="1707"/>
      <c r="G1632" s="1707"/>
      <c r="H1632" s="1707"/>
      <c r="I1632" s="1707"/>
      <c r="J1632" s="1707"/>
      <c r="K1632" s="1707"/>
      <c r="L1632" s="1704"/>
      <c r="M1632" s="1704"/>
    </row>
    <row r="1633" spans="5:13" ht="15">
      <c r="E1633" s="1645"/>
      <c r="F1633" s="1707"/>
      <c r="G1633" s="1707"/>
      <c r="H1633" s="1707"/>
      <c r="I1633" s="1707"/>
      <c r="J1633" s="1707"/>
      <c r="K1633" s="1707"/>
      <c r="L1633" s="1704"/>
      <c r="M1633" s="1704"/>
    </row>
    <row r="1634" spans="5:13" ht="15">
      <c r="E1634" s="1645"/>
      <c r="F1634" s="1707"/>
      <c r="G1634" s="1707"/>
      <c r="H1634" s="1707"/>
      <c r="I1634" s="1707"/>
      <c r="J1634" s="1707"/>
      <c r="K1634" s="1707"/>
      <c r="L1634" s="1704"/>
      <c r="M1634" s="1704"/>
    </row>
    <row r="1635" spans="5:13" ht="15">
      <c r="E1635" s="1645"/>
      <c r="F1635" s="1707"/>
      <c r="G1635" s="1707"/>
      <c r="H1635" s="1707"/>
      <c r="I1635" s="1707"/>
      <c r="J1635" s="1707"/>
      <c r="K1635" s="1707"/>
      <c r="L1635" s="1704"/>
      <c r="M1635" s="1704"/>
    </row>
    <row r="1636" spans="5:13" ht="15">
      <c r="E1636" s="1645"/>
      <c r="F1636" s="1707"/>
      <c r="G1636" s="1707"/>
      <c r="H1636" s="1707"/>
      <c r="I1636" s="1707"/>
      <c r="J1636" s="1707"/>
      <c r="K1636" s="1707"/>
      <c r="L1636" s="1704"/>
      <c r="M1636" s="1704"/>
    </row>
    <row r="1637" spans="5:13" ht="15">
      <c r="E1637" s="1645"/>
      <c r="F1637" s="1707"/>
      <c r="G1637" s="1707"/>
      <c r="H1637" s="1707"/>
      <c r="I1637" s="1707"/>
      <c r="J1637" s="1707"/>
      <c r="K1637" s="1707"/>
      <c r="L1637" s="1704"/>
      <c r="M1637" s="1704"/>
    </row>
    <row r="1638" spans="5:13" ht="15">
      <c r="E1638" s="1645"/>
      <c r="F1638" s="1707"/>
      <c r="G1638" s="1707"/>
      <c r="H1638" s="1707"/>
      <c r="I1638" s="1707"/>
      <c r="J1638" s="1707"/>
      <c r="K1638" s="1707"/>
      <c r="L1638" s="1704"/>
      <c r="M1638" s="1704"/>
    </row>
    <row r="1639" spans="5:13" ht="15">
      <c r="E1639" s="1645"/>
      <c r="F1639" s="1707"/>
      <c r="G1639" s="1707"/>
      <c r="H1639" s="1707"/>
      <c r="I1639" s="1707"/>
      <c r="J1639" s="1707"/>
      <c r="K1639" s="1707"/>
      <c r="L1639" s="1704"/>
      <c r="M1639" s="1704"/>
    </row>
    <row r="1640" spans="5:13" ht="15">
      <c r="E1640" s="1645"/>
      <c r="F1640" s="1707"/>
      <c r="G1640" s="1707"/>
      <c r="H1640" s="1707"/>
      <c r="I1640" s="1707"/>
      <c r="J1640" s="1707"/>
      <c r="K1640" s="1707"/>
      <c r="L1640" s="1704"/>
      <c r="M1640" s="1704"/>
    </row>
    <row r="1641" spans="5:13" ht="15">
      <c r="E1641" s="1645"/>
      <c r="F1641" s="1707"/>
      <c r="G1641" s="1707"/>
      <c r="H1641" s="1707"/>
      <c r="I1641" s="1707"/>
      <c r="J1641" s="1707"/>
      <c r="K1641" s="1707"/>
      <c r="L1641" s="1704"/>
      <c r="M1641" s="1704"/>
    </row>
    <row r="1642" spans="5:13" ht="15">
      <c r="E1642" s="1645"/>
      <c r="F1642" s="1707"/>
      <c r="G1642" s="1707"/>
      <c r="H1642" s="1707"/>
      <c r="I1642" s="1707"/>
      <c r="J1642" s="1707"/>
      <c r="K1642" s="1707"/>
      <c r="L1642" s="1704"/>
      <c r="M1642" s="1704"/>
    </row>
    <row r="1643" spans="5:13" ht="15">
      <c r="E1643" s="1645"/>
      <c r="F1643" s="1707"/>
      <c r="G1643" s="1707"/>
      <c r="H1643" s="1707"/>
      <c r="I1643" s="1707"/>
      <c r="J1643" s="1707"/>
      <c r="K1643" s="1707"/>
      <c r="L1643" s="1704"/>
      <c r="M1643" s="1704"/>
    </row>
    <row r="1644" spans="5:13" ht="15">
      <c r="E1644" s="1645"/>
      <c r="F1644" s="1707"/>
      <c r="G1644" s="1707"/>
      <c r="H1644" s="1707"/>
      <c r="I1644" s="1707"/>
      <c r="J1644" s="1707"/>
      <c r="K1644" s="1707"/>
      <c r="L1644" s="1704"/>
      <c r="M1644" s="1704"/>
    </row>
    <row r="1645" spans="5:13" ht="15">
      <c r="E1645" s="1645"/>
      <c r="F1645" s="1707"/>
      <c r="G1645" s="1707"/>
      <c r="H1645" s="1707"/>
      <c r="I1645" s="1707"/>
      <c r="J1645" s="1707"/>
      <c r="K1645" s="1707"/>
      <c r="L1645" s="1704"/>
      <c r="M1645" s="1704"/>
    </row>
    <row r="1646" spans="5:13" ht="15">
      <c r="E1646" s="1645"/>
      <c r="F1646" s="1707"/>
      <c r="G1646" s="1707"/>
      <c r="H1646" s="1707"/>
      <c r="I1646" s="1707"/>
      <c r="J1646" s="1707"/>
      <c r="K1646" s="1707"/>
      <c r="L1646" s="1704"/>
      <c r="M1646" s="1704"/>
    </row>
    <row r="1647" spans="5:13" ht="15">
      <c r="E1647" s="1645"/>
      <c r="F1647" s="1707"/>
      <c r="G1647" s="1707"/>
      <c r="H1647" s="1707"/>
      <c r="I1647" s="1707"/>
      <c r="J1647" s="1707"/>
      <c r="K1647" s="1707"/>
      <c r="L1647" s="1704"/>
      <c r="M1647" s="1704"/>
    </row>
    <row r="1648" spans="5:13" ht="15">
      <c r="E1648" s="1645"/>
      <c r="F1648" s="1707"/>
      <c r="G1648" s="1707"/>
      <c r="H1648" s="1707"/>
      <c r="I1648" s="1707"/>
      <c r="J1648" s="1707"/>
      <c r="K1648" s="1707"/>
      <c r="L1648" s="1704"/>
      <c r="M1648" s="1704"/>
    </row>
    <row r="1649" spans="5:13" ht="15">
      <c r="E1649" s="1645"/>
      <c r="F1649" s="1707"/>
      <c r="G1649" s="1707"/>
      <c r="H1649" s="1707"/>
      <c r="I1649" s="1707"/>
      <c r="J1649" s="1707"/>
      <c r="K1649" s="1707"/>
      <c r="L1649" s="1704"/>
      <c r="M1649" s="1704"/>
    </row>
    <row r="1650" spans="5:13" ht="15">
      <c r="E1650" s="1645"/>
      <c r="F1650" s="1707"/>
      <c r="G1650" s="1707"/>
      <c r="H1650" s="1707"/>
      <c r="I1650" s="1707"/>
      <c r="J1650" s="1707"/>
      <c r="K1650" s="1707"/>
      <c r="L1650" s="1704"/>
      <c r="M1650" s="1704"/>
    </row>
    <row r="1651" spans="5:13" ht="15">
      <c r="E1651" s="1645"/>
      <c r="F1651" s="1707"/>
      <c r="G1651" s="1707"/>
      <c r="H1651" s="1707"/>
      <c r="I1651" s="1707"/>
      <c r="J1651" s="1707"/>
      <c r="K1651" s="1707"/>
      <c r="L1651" s="1704"/>
      <c r="M1651" s="1704"/>
    </row>
    <row r="1652" spans="5:13" ht="15">
      <c r="E1652" s="1645"/>
      <c r="F1652" s="1707"/>
      <c r="G1652" s="1707"/>
      <c r="H1652" s="1707"/>
      <c r="I1652" s="1707"/>
      <c r="J1652" s="1707"/>
      <c r="K1652" s="1707"/>
      <c r="L1652" s="1704"/>
      <c r="M1652" s="1704"/>
    </row>
    <row r="1653" spans="5:13" ht="15">
      <c r="E1653" s="1645"/>
      <c r="F1653" s="1707"/>
      <c r="G1653" s="1707"/>
      <c r="H1653" s="1707"/>
      <c r="I1653" s="1707"/>
      <c r="J1653" s="1707"/>
      <c r="K1653" s="1707"/>
      <c r="L1653" s="1704"/>
      <c r="M1653" s="1704"/>
    </row>
    <row r="1654" spans="5:13" ht="15">
      <c r="E1654" s="1645"/>
      <c r="F1654" s="1707"/>
      <c r="G1654" s="1707"/>
      <c r="H1654" s="1707"/>
      <c r="I1654" s="1707"/>
      <c r="J1654" s="1707"/>
      <c r="K1654" s="1707"/>
      <c r="L1654" s="1704"/>
      <c r="M1654" s="1704"/>
    </row>
    <row r="1655" spans="5:13" ht="15">
      <c r="E1655" s="1645"/>
      <c r="F1655" s="1707"/>
      <c r="G1655" s="1707"/>
      <c r="H1655" s="1707"/>
      <c r="I1655" s="1707"/>
      <c r="J1655" s="1707"/>
      <c r="K1655" s="1707"/>
      <c r="L1655" s="1704"/>
      <c r="M1655" s="1704"/>
    </row>
    <row r="1656" spans="5:13" ht="15">
      <c r="E1656" s="1645"/>
      <c r="F1656" s="1707"/>
      <c r="G1656" s="1707"/>
      <c r="H1656" s="1707"/>
      <c r="I1656" s="1707"/>
      <c r="J1656" s="1707"/>
      <c r="K1656" s="1707"/>
      <c r="L1656" s="1704"/>
      <c r="M1656" s="1704"/>
    </row>
    <row r="1657" spans="5:13" ht="15">
      <c r="E1657" s="1645"/>
      <c r="F1657" s="1707"/>
      <c r="G1657" s="1707"/>
      <c r="H1657" s="1707"/>
      <c r="I1657" s="1707"/>
      <c r="J1657" s="1707"/>
      <c r="K1657" s="1707"/>
      <c r="L1657" s="1704"/>
      <c r="M1657" s="1704"/>
    </row>
    <row r="1658" spans="5:13" ht="15">
      <c r="E1658" s="1645"/>
      <c r="F1658" s="1707"/>
      <c r="G1658" s="1707"/>
      <c r="H1658" s="1707"/>
      <c r="I1658" s="1707"/>
      <c r="J1658" s="1707"/>
      <c r="K1658" s="1707"/>
      <c r="L1658" s="1704"/>
      <c r="M1658" s="1704"/>
    </row>
    <row r="1659" spans="5:13" ht="15">
      <c r="E1659" s="1645"/>
      <c r="F1659" s="1707"/>
      <c r="G1659" s="1707"/>
      <c r="H1659" s="1707"/>
      <c r="I1659" s="1707"/>
      <c r="J1659" s="1707"/>
      <c r="K1659" s="1707"/>
      <c r="L1659" s="1704"/>
      <c r="M1659" s="1704"/>
    </row>
    <row r="1660" spans="5:13" ht="15">
      <c r="E1660" s="1645"/>
      <c r="F1660" s="1707"/>
      <c r="G1660" s="1707"/>
      <c r="H1660" s="1707"/>
      <c r="I1660" s="1707"/>
      <c r="J1660" s="1707"/>
      <c r="K1660" s="1707"/>
      <c r="L1660" s="1704"/>
      <c r="M1660" s="1704"/>
    </row>
    <row r="1661" spans="5:13" ht="15">
      <c r="E1661" s="1645"/>
      <c r="F1661" s="1707"/>
      <c r="G1661" s="1707"/>
      <c r="H1661" s="1707"/>
      <c r="I1661" s="1707"/>
      <c r="J1661" s="1707"/>
      <c r="K1661" s="1707"/>
      <c r="L1661" s="1704"/>
      <c r="M1661" s="1704"/>
    </row>
    <row r="1662" spans="5:13" ht="15">
      <c r="E1662" s="1645"/>
      <c r="F1662" s="1707"/>
      <c r="G1662" s="1707"/>
      <c r="H1662" s="1707"/>
      <c r="I1662" s="1707"/>
      <c r="J1662" s="1707"/>
      <c r="K1662" s="1707"/>
      <c r="L1662" s="1704"/>
      <c r="M1662" s="1704"/>
    </row>
    <row r="1663" spans="5:13" ht="15">
      <c r="E1663" s="1645"/>
      <c r="F1663" s="1707"/>
      <c r="G1663" s="1707"/>
      <c r="H1663" s="1707"/>
      <c r="I1663" s="1707"/>
      <c r="J1663" s="1707"/>
      <c r="K1663" s="1707"/>
      <c r="L1663" s="1704"/>
      <c r="M1663" s="1704"/>
    </row>
    <row r="1664" spans="5:13" ht="15">
      <c r="E1664" s="1645"/>
      <c r="F1664" s="1707"/>
      <c r="G1664" s="1707"/>
      <c r="H1664" s="1707"/>
      <c r="I1664" s="1707"/>
      <c r="J1664" s="1707"/>
      <c r="K1664" s="1707"/>
      <c r="L1664" s="1704"/>
      <c r="M1664" s="1704"/>
    </row>
    <row r="1665" spans="5:13" ht="15">
      <c r="E1665" s="1645"/>
      <c r="F1665" s="1707"/>
      <c r="G1665" s="1707"/>
      <c r="H1665" s="1707"/>
      <c r="I1665" s="1707"/>
      <c r="J1665" s="1707"/>
      <c r="K1665" s="1707"/>
      <c r="L1665" s="1704"/>
      <c r="M1665" s="1704"/>
    </row>
    <row r="1666" spans="5:13" ht="15">
      <c r="E1666" s="1645"/>
      <c r="F1666" s="1707"/>
      <c r="G1666" s="1707"/>
      <c r="H1666" s="1707"/>
      <c r="I1666" s="1707"/>
      <c r="J1666" s="1707"/>
      <c r="K1666" s="1707"/>
      <c r="L1666" s="1704"/>
      <c r="M1666" s="1704"/>
    </row>
    <row r="1667" spans="5:13" ht="15">
      <c r="E1667" s="1645"/>
      <c r="F1667" s="1707"/>
      <c r="G1667" s="1707"/>
      <c r="H1667" s="1707"/>
      <c r="I1667" s="1707"/>
      <c r="J1667" s="1707"/>
      <c r="K1667" s="1707"/>
      <c r="L1667" s="1704"/>
      <c r="M1667" s="1704"/>
    </row>
    <row r="1668" spans="5:13" ht="15">
      <c r="E1668" s="1645"/>
      <c r="F1668" s="1707"/>
      <c r="G1668" s="1707"/>
      <c r="H1668" s="1707"/>
      <c r="I1668" s="1707"/>
      <c r="J1668" s="1707"/>
      <c r="K1668" s="1707"/>
      <c r="L1668" s="1704"/>
      <c r="M1668" s="1704"/>
    </row>
    <row r="1669" spans="5:13" ht="15">
      <c r="E1669" s="1645"/>
      <c r="F1669" s="1707"/>
      <c r="G1669" s="1707"/>
      <c r="H1669" s="1707"/>
      <c r="I1669" s="1707"/>
      <c r="J1669" s="1707"/>
      <c r="K1669" s="1707"/>
      <c r="L1669" s="1704"/>
      <c r="M1669" s="1704"/>
    </row>
    <row r="1670" spans="5:13" ht="15">
      <c r="E1670" s="1645"/>
      <c r="F1670" s="1707"/>
      <c r="G1670" s="1707"/>
      <c r="H1670" s="1707"/>
      <c r="I1670" s="1707"/>
      <c r="J1670" s="1707"/>
      <c r="K1670" s="1707"/>
      <c r="L1670" s="1704"/>
      <c r="M1670" s="1704"/>
    </row>
    <row r="1671" spans="5:13" ht="15">
      <c r="E1671" s="1645"/>
      <c r="F1671" s="1707"/>
      <c r="G1671" s="1707"/>
      <c r="H1671" s="1707"/>
      <c r="I1671" s="1707"/>
      <c r="J1671" s="1707"/>
      <c r="K1671" s="1707"/>
      <c r="L1671" s="1704"/>
      <c r="M1671" s="1704"/>
    </row>
    <row r="1672" spans="5:13" ht="15">
      <c r="E1672" s="1645"/>
      <c r="F1672" s="1707"/>
      <c r="G1672" s="1707"/>
      <c r="H1672" s="1707"/>
      <c r="I1672" s="1707"/>
      <c r="J1672" s="1707"/>
      <c r="K1672" s="1707"/>
      <c r="L1672" s="1704"/>
      <c r="M1672" s="1704"/>
    </row>
    <row r="1673" spans="5:13" ht="15">
      <c r="E1673" s="1645"/>
      <c r="F1673" s="1707"/>
      <c r="G1673" s="1707"/>
      <c r="H1673" s="1707"/>
      <c r="I1673" s="1707"/>
      <c r="J1673" s="1707"/>
      <c r="K1673" s="1707"/>
      <c r="L1673" s="1704"/>
      <c r="M1673" s="1704"/>
    </row>
    <row r="1674" spans="5:13" ht="15">
      <c r="E1674" s="1645"/>
      <c r="F1674" s="1707"/>
      <c r="G1674" s="1707"/>
      <c r="H1674" s="1707"/>
      <c r="I1674" s="1707"/>
      <c r="J1674" s="1707"/>
      <c r="K1674" s="1707"/>
      <c r="L1674" s="1704"/>
      <c r="M1674" s="1704"/>
    </row>
    <row r="1675" spans="5:13" ht="15">
      <c r="E1675" s="1645"/>
      <c r="F1675" s="1707"/>
      <c r="G1675" s="1707"/>
      <c r="H1675" s="1707"/>
      <c r="I1675" s="1707"/>
      <c r="J1675" s="1707"/>
      <c r="K1675" s="1707"/>
      <c r="L1675" s="1704"/>
      <c r="M1675" s="1704"/>
    </row>
    <row r="1676" spans="5:13" ht="15">
      <c r="E1676" s="1645"/>
      <c r="F1676" s="1707"/>
      <c r="G1676" s="1707"/>
      <c r="H1676" s="1707"/>
      <c r="I1676" s="1707"/>
      <c r="J1676" s="1707"/>
      <c r="K1676" s="1707"/>
      <c r="L1676" s="1704"/>
      <c r="M1676" s="1704"/>
    </row>
    <row r="1677" spans="5:13" ht="15">
      <c r="E1677" s="1645"/>
      <c r="F1677" s="1707"/>
      <c r="G1677" s="1707"/>
      <c r="H1677" s="1707"/>
      <c r="I1677" s="1707"/>
      <c r="J1677" s="1707"/>
      <c r="K1677" s="1707"/>
      <c r="L1677" s="1704"/>
      <c r="M1677" s="1704"/>
    </row>
    <row r="1678" spans="5:13" ht="15">
      <c r="E1678" s="1645"/>
      <c r="F1678" s="1707"/>
      <c r="G1678" s="1707"/>
      <c r="H1678" s="1707"/>
      <c r="I1678" s="1707"/>
      <c r="J1678" s="1707"/>
      <c r="K1678" s="1707"/>
      <c r="L1678" s="1704"/>
      <c r="M1678" s="1704"/>
    </row>
    <row r="1679" spans="5:13" ht="15">
      <c r="E1679" s="1645"/>
      <c r="F1679" s="1707"/>
      <c r="G1679" s="1707"/>
      <c r="H1679" s="1707"/>
      <c r="I1679" s="1707"/>
      <c r="J1679" s="1707"/>
      <c r="K1679" s="1707"/>
      <c r="L1679" s="1704"/>
      <c r="M1679" s="1704"/>
    </row>
    <row r="1680" spans="5:13" ht="15">
      <c r="E1680" s="1645"/>
      <c r="F1680" s="1707"/>
      <c r="G1680" s="1707"/>
      <c r="H1680" s="1707"/>
      <c r="I1680" s="1707"/>
      <c r="J1680" s="1707"/>
      <c r="K1680" s="1707"/>
      <c r="L1680" s="1704"/>
      <c r="M1680" s="1704"/>
    </row>
    <row r="1681" spans="5:13" ht="15">
      <c r="E1681" s="1645"/>
      <c r="F1681" s="1707"/>
      <c r="G1681" s="1707"/>
      <c r="H1681" s="1707"/>
      <c r="I1681" s="1707"/>
      <c r="J1681" s="1707"/>
      <c r="K1681" s="1707"/>
      <c r="L1681" s="1704"/>
      <c r="M1681" s="1704"/>
    </row>
    <row r="1682" spans="5:13" ht="15">
      <c r="E1682" s="1645"/>
      <c r="F1682" s="1707"/>
      <c r="G1682" s="1707"/>
      <c r="H1682" s="1707"/>
      <c r="I1682" s="1707"/>
      <c r="J1682" s="1707"/>
      <c r="K1682" s="1707"/>
      <c r="L1682" s="1704"/>
      <c r="M1682" s="1704"/>
    </row>
    <row r="1683" spans="5:13" ht="15">
      <c r="E1683" s="1645"/>
      <c r="F1683" s="1707"/>
      <c r="G1683" s="1707"/>
      <c r="H1683" s="1707"/>
      <c r="I1683" s="1707"/>
      <c r="J1683" s="1707"/>
      <c r="K1683" s="1707"/>
      <c r="L1683" s="1704"/>
      <c r="M1683" s="1704"/>
    </row>
    <row r="1684" spans="5:13" ht="15">
      <c r="E1684" s="1645"/>
      <c r="F1684" s="1707"/>
      <c r="G1684" s="1707"/>
      <c r="H1684" s="1707"/>
      <c r="I1684" s="1707"/>
      <c r="J1684" s="1707"/>
      <c r="K1684" s="1707"/>
      <c r="L1684" s="1704"/>
      <c r="M1684" s="1704"/>
    </row>
    <row r="1685" spans="5:13" ht="15">
      <c r="E1685" s="1645"/>
      <c r="F1685" s="1707"/>
      <c r="G1685" s="1707"/>
      <c r="H1685" s="1707"/>
      <c r="I1685" s="1707"/>
      <c r="J1685" s="1707"/>
      <c r="K1685" s="1707"/>
      <c r="L1685" s="1704"/>
      <c r="M1685" s="1704"/>
    </row>
    <row r="1686" spans="5:13" ht="15">
      <c r="E1686" s="1645"/>
      <c r="F1686" s="1707"/>
      <c r="G1686" s="1707"/>
      <c r="H1686" s="1707"/>
      <c r="I1686" s="1707"/>
      <c r="J1686" s="1707"/>
      <c r="K1686" s="1707"/>
      <c r="L1686" s="1704"/>
      <c r="M1686" s="1704"/>
    </row>
    <row r="1687" spans="5:13" ht="15">
      <c r="E1687" s="1645"/>
      <c r="F1687" s="1707"/>
      <c r="G1687" s="1707"/>
      <c r="H1687" s="1707"/>
      <c r="I1687" s="1707"/>
      <c r="J1687" s="1707"/>
      <c r="K1687" s="1707"/>
      <c r="L1687" s="1704"/>
      <c r="M1687" s="1704"/>
    </row>
    <row r="1688" spans="5:13" ht="15">
      <c r="E1688" s="1645"/>
      <c r="F1688" s="1707"/>
      <c r="G1688" s="1707"/>
      <c r="H1688" s="1707"/>
      <c r="I1688" s="1707"/>
      <c r="J1688" s="1707"/>
      <c r="K1688" s="1707"/>
      <c r="L1688" s="1704"/>
      <c r="M1688" s="1704"/>
    </row>
    <row r="1689" spans="5:13" ht="15">
      <c r="E1689" s="1645"/>
      <c r="F1689" s="1707"/>
      <c r="G1689" s="1707"/>
      <c r="H1689" s="1707"/>
      <c r="I1689" s="1707"/>
      <c r="J1689" s="1707"/>
      <c r="K1689" s="1707"/>
      <c r="L1689" s="1704"/>
      <c r="M1689" s="1704"/>
    </row>
    <row r="1690" spans="5:13" ht="15">
      <c r="E1690" s="1645"/>
      <c r="F1690" s="1707"/>
      <c r="G1690" s="1707"/>
      <c r="H1690" s="1707"/>
      <c r="I1690" s="1707"/>
      <c r="J1690" s="1707"/>
      <c r="K1690" s="1707"/>
      <c r="L1690" s="1704"/>
      <c r="M1690" s="1704"/>
    </row>
    <row r="1691" spans="5:13" ht="15">
      <c r="E1691" s="1645"/>
      <c r="F1691" s="1707"/>
      <c r="G1691" s="1707"/>
      <c r="H1691" s="1707"/>
      <c r="I1691" s="1707"/>
      <c r="J1691" s="1707"/>
      <c r="K1691" s="1707"/>
      <c r="L1691" s="1704"/>
      <c r="M1691" s="1704"/>
    </row>
    <row r="1692" spans="5:13" ht="15">
      <c r="E1692" s="1645"/>
      <c r="F1692" s="1707"/>
      <c r="G1692" s="1707"/>
      <c r="H1692" s="1707"/>
      <c r="I1692" s="1707"/>
      <c r="J1692" s="1707"/>
      <c r="K1692" s="1707"/>
      <c r="L1692" s="1704"/>
      <c r="M1692" s="1704"/>
    </row>
    <row r="1693" spans="5:13" ht="15">
      <c r="E1693" s="1645"/>
      <c r="F1693" s="1707"/>
      <c r="G1693" s="1707"/>
      <c r="H1693" s="1707"/>
      <c r="I1693" s="1707"/>
      <c r="J1693" s="1707"/>
      <c r="K1693" s="1707"/>
      <c r="L1693" s="1704"/>
      <c r="M1693" s="1704"/>
    </row>
    <row r="1694" spans="5:13" ht="15">
      <c r="E1694" s="1645"/>
      <c r="F1694" s="1707"/>
      <c r="G1694" s="1707"/>
      <c r="H1694" s="1707"/>
      <c r="I1694" s="1707"/>
      <c r="J1694" s="1707"/>
      <c r="K1694" s="1707"/>
      <c r="L1694" s="1704"/>
      <c r="M1694" s="1704"/>
    </row>
    <row r="1695" spans="5:13" ht="15">
      <c r="E1695" s="1645"/>
      <c r="F1695" s="1707"/>
      <c r="G1695" s="1707"/>
      <c r="H1695" s="1707"/>
      <c r="I1695" s="1707"/>
      <c r="J1695" s="1707"/>
      <c r="K1695" s="1707"/>
      <c r="L1695" s="1704"/>
      <c r="M1695" s="1704"/>
    </row>
    <row r="1696" spans="5:13" ht="15">
      <c r="E1696" s="1645"/>
      <c r="F1696" s="1707"/>
      <c r="G1696" s="1707"/>
      <c r="H1696" s="1707"/>
      <c r="I1696" s="1707"/>
      <c r="J1696" s="1707"/>
      <c r="K1696" s="1707"/>
      <c r="L1696" s="1704"/>
      <c r="M1696" s="1704"/>
    </row>
    <row r="1697" spans="5:13" ht="15">
      <c r="E1697" s="1645"/>
      <c r="F1697" s="1707"/>
      <c r="G1697" s="1707"/>
      <c r="H1697" s="1707"/>
      <c r="I1697" s="1707"/>
      <c r="J1697" s="1707"/>
      <c r="K1697" s="1707"/>
      <c r="L1697" s="1704"/>
      <c r="M1697" s="1704"/>
    </row>
    <row r="1698" spans="5:13" ht="15">
      <c r="E1698" s="1645"/>
      <c r="F1698" s="1707"/>
      <c r="G1698" s="1707"/>
      <c r="H1698" s="1707"/>
      <c r="I1698" s="1707"/>
      <c r="J1698" s="1707"/>
      <c r="K1698" s="1707"/>
      <c r="L1698" s="1704"/>
      <c r="M1698" s="1704"/>
    </row>
    <row r="1699" spans="5:13" ht="15">
      <c r="E1699" s="1645"/>
      <c r="F1699" s="1707"/>
      <c r="G1699" s="1707"/>
      <c r="H1699" s="1707"/>
      <c r="I1699" s="1707"/>
      <c r="J1699" s="1707"/>
      <c r="K1699" s="1707"/>
      <c r="L1699" s="1704"/>
      <c r="M1699" s="1704"/>
    </row>
    <row r="1700" spans="5:13" ht="15">
      <c r="E1700" s="1645"/>
      <c r="F1700" s="1707"/>
      <c r="G1700" s="1707"/>
      <c r="H1700" s="1707"/>
      <c r="I1700" s="1707"/>
      <c r="J1700" s="1707"/>
      <c r="K1700" s="1707"/>
      <c r="L1700" s="1704"/>
      <c r="M1700" s="1704"/>
    </row>
    <row r="1701" spans="5:13" ht="15">
      <c r="E1701" s="1645"/>
      <c r="F1701" s="1707"/>
      <c r="G1701" s="1707"/>
      <c r="H1701" s="1707"/>
      <c r="I1701" s="1707"/>
      <c r="J1701" s="1707"/>
      <c r="K1701" s="1707"/>
      <c r="L1701" s="1704"/>
      <c r="M1701" s="1704"/>
    </row>
    <row r="1702" spans="5:13" ht="15">
      <c r="E1702" s="1645"/>
      <c r="F1702" s="1707"/>
      <c r="G1702" s="1707"/>
      <c r="H1702" s="1707"/>
      <c r="I1702" s="1707"/>
      <c r="J1702" s="1707"/>
      <c r="K1702" s="1707"/>
      <c r="L1702" s="1704"/>
      <c r="M1702" s="1704"/>
    </row>
    <row r="1703" spans="5:13" ht="15">
      <c r="E1703" s="1645"/>
      <c r="F1703" s="1707"/>
      <c r="G1703" s="1707"/>
      <c r="H1703" s="1707"/>
      <c r="I1703" s="1707"/>
      <c r="J1703" s="1707"/>
      <c r="K1703" s="1707"/>
      <c r="L1703" s="1704"/>
      <c r="M1703" s="1704"/>
    </row>
    <row r="1704" spans="5:13" ht="15">
      <c r="E1704" s="1645"/>
      <c r="F1704" s="1707"/>
      <c r="G1704" s="1707"/>
      <c r="H1704" s="1707"/>
      <c r="I1704" s="1707"/>
      <c r="J1704" s="1707"/>
      <c r="K1704" s="1707"/>
      <c r="L1704" s="1704"/>
      <c r="M1704" s="1704"/>
    </row>
    <row r="1705" spans="5:13" ht="15">
      <c r="E1705" s="1645"/>
      <c r="F1705" s="1707"/>
      <c r="G1705" s="1707"/>
      <c r="H1705" s="1707"/>
      <c r="I1705" s="1707"/>
      <c r="J1705" s="1707"/>
      <c r="K1705" s="1707"/>
      <c r="L1705" s="1704"/>
      <c r="M1705" s="1704"/>
    </row>
    <row r="1706" spans="5:13" ht="15">
      <c r="E1706" s="1645"/>
      <c r="F1706" s="1707"/>
      <c r="G1706" s="1707"/>
      <c r="H1706" s="1707"/>
      <c r="I1706" s="1707"/>
      <c r="J1706" s="1707"/>
      <c r="K1706" s="1707"/>
      <c r="L1706" s="1704"/>
      <c r="M1706" s="1704"/>
    </row>
    <row r="1707" spans="5:13" ht="15">
      <c r="E1707" s="1645"/>
      <c r="F1707" s="1707"/>
      <c r="G1707" s="1707"/>
      <c r="H1707" s="1707"/>
      <c r="I1707" s="1707"/>
      <c r="J1707" s="1707"/>
      <c r="K1707" s="1707"/>
      <c r="L1707" s="1704"/>
      <c r="M1707" s="1704"/>
    </row>
    <row r="1708" spans="5:13" ht="15">
      <c r="E1708" s="1645"/>
      <c r="F1708" s="1707"/>
      <c r="G1708" s="1707"/>
      <c r="H1708" s="1707"/>
      <c r="I1708" s="1707"/>
      <c r="J1708" s="1707"/>
      <c r="K1708" s="1707"/>
      <c r="L1708" s="1704"/>
      <c r="M1708" s="1704"/>
    </row>
    <row r="1709" spans="5:13" ht="15">
      <c r="E1709" s="1645"/>
      <c r="F1709" s="1707"/>
      <c r="G1709" s="1707"/>
      <c r="H1709" s="1707"/>
      <c r="I1709" s="1707"/>
      <c r="J1709" s="1707"/>
      <c r="K1709" s="1707"/>
      <c r="L1709" s="1704"/>
      <c r="M1709" s="1704"/>
    </row>
    <row r="1710" spans="5:13" ht="15">
      <c r="E1710" s="1645"/>
      <c r="F1710" s="1707"/>
      <c r="G1710" s="1707"/>
      <c r="H1710" s="1707"/>
      <c r="I1710" s="1707"/>
      <c r="J1710" s="1707"/>
      <c r="K1710" s="1707"/>
      <c r="L1710" s="1704"/>
      <c r="M1710" s="1704"/>
    </row>
    <row r="1711" spans="5:13" ht="15">
      <c r="E1711" s="1645"/>
      <c r="F1711" s="1707"/>
      <c r="G1711" s="1707"/>
      <c r="H1711" s="1707"/>
      <c r="I1711" s="1707"/>
      <c r="J1711" s="1707"/>
      <c r="K1711" s="1707"/>
      <c r="L1711" s="1704"/>
      <c r="M1711" s="1704"/>
    </row>
    <row r="1712" spans="5:13" ht="15">
      <c r="E1712" s="1645"/>
      <c r="F1712" s="1707"/>
      <c r="G1712" s="1707"/>
      <c r="H1712" s="1707"/>
      <c r="I1712" s="1707"/>
      <c r="J1712" s="1707"/>
      <c r="K1712" s="1707"/>
      <c r="L1712" s="1704"/>
      <c r="M1712" s="1704"/>
    </row>
    <row r="1713" spans="5:13" ht="15">
      <c r="E1713" s="1645"/>
      <c r="F1713" s="1707"/>
      <c r="G1713" s="1707"/>
      <c r="H1713" s="1707"/>
      <c r="I1713" s="1707"/>
      <c r="J1713" s="1707"/>
      <c r="K1713" s="1707"/>
      <c r="L1713" s="1704"/>
      <c r="M1713" s="1704"/>
    </row>
    <row r="1714" spans="5:13" ht="15">
      <c r="E1714" s="1645"/>
      <c r="F1714" s="1707"/>
      <c r="G1714" s="1707"/>
      <c r="H1714" s="1707"/>
      <c r="I1714" s="1707"/>
      <c r="J1714" s="1707"/>
      <c r="K1714" s="1707"/>
      <c r="L1714" s="1704"/>
      <c r="M1714" s="1704"/>
    </row>
    <row r="1715" spans="5:13" ht="15">
      <c r="E1715" s="1645"/>
      <c r="F1715" s="1707"/>
      <c r="G1715" s="1707"/>
      <c r="H1715" s="1707"/>
      <c r="I1715" s="1707"/>
      <c r="J1715" s="1707"/>
      <c r="K1715" s="1707"/>
      <c r="L1715" s="1704"/>
      <c r="M1715" s="1704"/>
    </row>
    <row r="1716" spans="5:13" ht="15">
      <c r="E1716" s="1645"/>
      <c r="F1716" s="1707"/>
      <c r="G1716" s="1707"/>
      <c r="H1716" s="1707"/>
      <c r="I1716" s="1707"/>
      <c r="J1716" s="1707"/>
      <c r="K1716" s="1707"/>
      <c r="L1716" s="1704"/>
      <c r="M1716" s="1704"/>
    </row>
    <row r="1717" spans="5:13" ht="15">
      <c r="E1717" s="1645"/>
      <c r="F1717" s="1707"/>
      <c r="G1717" s="1707"/>
      <c r="H1717" s="1707"/>
      <c r="I1717" s="1707"/>
      <c r="J1717" s="1707"/>
      <c r="K1717" s="1707"/>
      <c r="L1717" s="1704"/>
      <c r="M1717" s="1704"/>
    </row>
    <row r="1718" spans="5:13" ht="15">
      <c r="E1718" s="1645"/>
      <c r="F1718" s="1707"/>
      <c r="G1718" s="1707"/>
      <c r="H1718" s="1707"/>
      <c r="I1718" s="1707"/>
      <c r="J1718" s="1707"/>
      <c r="K1718" s="1707"/>
      <c r="L1718" s="1704"/>
      <c r="M1718" s="1704"/>
    </row>
    <row r="1719" spans="5:13" ht="15">
      <c r="E1719" s="1645"/>
      <c r="F1719" s="1707"/>
      <c r="G1719" s="1707"/>
      <c r="H1719" s="1707"/>
      <c r="I1719" s="1707"/>
      <c r="J1719" s="1707"/>
      <c r="K1719" s="1707"/>
      <c r="L1719" s="1704"/>
      <c r="M1719" s="1704"/>
    </row>
    <row r="1720" spans="5:13" ht="15">
      <c r="E1720" s="1645"/>
      <c r="F1720" s="1707"/>
      <c r="G1720" s="1707"/>
      <c r="H1720" s="1707"/>
      <c r="I1720" s="1707"/>
      <c r="J1720" s="1707"/>
      <c r="K1720" s="1707"/>
      <c r="L1720" s="1704"/>
      <c r="M1720" s="1704"/>
    </row>
    <row r="1721" spans="5:13" ht="15">
      <c r="E1721" s="1645"/>
      <c r="F1721" s="1707"/>
      <c r="G1721" s="1707"/>
      <c r="H1721" s="1707"/>
      <c r="I1721" s="1707"/>
      <c r="J1721" s="1707"/>
      <c r="K1721" s="1707"/>
      <c r="L1721" s="1704"/>
      <c r="M1721" s="1704"/>
    </row>
    <row r="1722" spans="5:13" ht="15">
      <c r="E1722" s="1645"/>
      <c r="F1722" s="1707"/>
      <c r="G1722" s="1707"/>
      <c r="H1722" s="1707"/>
      <c r="I1722" s="1707"/>
      <c r="J1722" s="1707"/>
      <c r="K1722" s="1707"/>
      <c r="L1722" s="1704"/>
      <c r="M1722" s="1704"/>
    </row>
    <row r="1723" spans="5:13" ht="15">
      <c r="E1723" s="1645"/>
      <c r="F1723" s="1707"/>
      <c r="G1723" s="1707"/>
      <c r="H1723" s="1707"/>
      <c r="I1723" s="1707"/>
      <c r="J1723" s="1707"/>
      <c r="K1723" s="1707"/>
      <c r="L1723" s="1704"/>
      <c r="M1723" s="1704"/>
    </row>
    <row r="1724" spans="5:13" ht="15">
      <c r="E1724" s="1645"/>
      <c r="F1724" s="1707"/>
      <c r="G1724" s="1707"/>
      <c r="H1724" s="1707"/>
      <c r="I1724" s="1707"/>
      <c r="J1724" s="1707"/>
      <c r="K1724" s="1707"/>
      <c r="L1724" s="1704"/>
      <c r="M1724" s="1704"/>
    </row>
    <row r="1725" spans="5:13" ht="15">
      <c r="E1725" s="1645"/>
      <c r="F1725" s="1707"/>
      <c r="G1725" s="1707"/>
      <c r="H1725" s="1707"/>
      <c r="I1725" s="1707"/>
      <c r="J1725" s="1707"/>
      <c r="K1725" s="1707"/>
      <c r="L1725" s="1704"/>
      <c r="M1725" s="1704"/>
    </row>
    <row r="1726" spans="5:13" ht="15">
      <c r="E1726" s="1645"/>
      <c r="F1726" s="1707"/>
      <c r="G1726" s="1707"/>
      <c r="H1726" s="1707"/>
      <c r="I1726" s="1707"/>
      <c r="J1726" s="1707"/>
      <c r="K1726" s="1707"/>
      <c r="L1726" s="1704"/>
      <c r="M1726" s="1704"/>
    </row>
    <row r="1727" spans="5:13" ht="15">
      <c r="E1727" s="1645"/>
      <c r="F1727" s="1707"/>
      <c r="G1727" s="1707"/>
      <c r="H1727" s="1707"/>
      <c r="I1727" s="1707"/>
      <c r="J1727" s="1707"/>
      <c r="K1727" s="1707"/>
      <c r="L1727" s="1704"/>
      <c r="M1727" s="1704"/>
    </row>
    <row r="1728" spans="5:13" ht="15">
      <c r="E1728" s="1645"/>
      <c r="F1728" s="1707"/>
      <c r="G1728" s="1707"/>
      <c r="H1728" s="1707"/>
      <c r="I1728" s="1707"/>
      <c r="J1728" s="1707"/>
      <c r="K1728" s="1707"/>
      <c r="L1728" s="1704"/>
      <c r="M1728" s="1704"/>
    </row>
    <row r="1729" spans="5:13" ht="15">
      <c r="E1729" s="1645"/>
      <c r="F1729" s="1707"/>
      <c r="G1729" s="1707"/>
      <c r="H1729" s="1707"/>
      <c r="I1729" s="1707"/>
      <c r="J1729" s="1707"/>
      <c r="K1729" s="1707"/>
      <c r="L1729" s="1704"/>
      <c r="M1729" s="1704"/>
    </row>
    <row r="1730" spans="5:13" ht="15">
      <c r="E1730" s="1645"/>
      <c r="F1730" s="1707"/>
      <c r="G1730" s="1707"/>
      <c r="H1730" s="1707"/>
      <c r="I1730" s="1707"/>
      <c r="J1730" s="1707"/>
      <c r="K1730" s="1707"/>
      <c r="L1730" s="1704"/>
      <c r="M1730" s="1704"/>
    </row>
    <row r="1731" spans="5:13" ht="15">
      <c r="E1731" s="1645"/>
      <c r="F1731" s="1707"/>
      <c r="G1731" s="1707"/>
      <c r="H1731" s="1707"/>
      <c r="I1731" s="1707"/>
      <c r="J1731" s="1707"/>
      <c r="K1731" s="1707"/>
      <c r="L1731" s="1704"/>
      <c r="M1731" s="1704"/>
    </row>
    <row r="1732" spans="5:13" ht="15">
      <c r="E1732" s="1645"/>
      <c r="F1732" s="1707"/>
      <c r="G1732" s="1707"/>
      <c r="H1732" s="1707"/>
      <c r="I1732" s="1707"/>
      <c r="J1732" s="1707"/>
      <c r="K1732" s="1707"/>
      <c r="L1732" s="1704"/>
      <c r="M1732" s="1704"/>
    </row>
    <row r="1733" spans="5:13" ht="15">
      <c r="E1733" s="1645"/>
      <c r="F1733" s="1707"/>
      <c r="G1733" s="1707"/>
      <c r="H1733" s="1707"/>
      <c r="I1733" s="1707"/>
      <c r="J1733" s="1707"/>
      <c r="K1733" s="1707"/>
      <c r="L1733" s="1704"/>
      <c r="M1733" s="1704"/>
    </row>
    <row r="1734" spans="5:13" ht="15">
      <c r="E1734" s="1645"/>
      <c r="F1734" s="1707"/>
      <c r="G1734" s="1707"/>
      <c r="H1734" s="1707"/>
      <c r="I1734" s="1707"/>
      <c r="J1734" s="1707"/>
      <c r="K1734" s="1707"/>
      <c r="L1734" s="1704"/>
      <c r="M1734" s="1704"/>
    </row>
    <row r="1735" spans="5:13" ht="15">
      <c r="E1735" s="1645"/>
      <c r="F1735" s="1707"/>
      <c r="G1735" s="1707"/>
      <c r="H1735" s="1707"/>
      <c r="I1735" s="1707"/>
      <c r="J1735" s="1707"/>
      <c r="K1735" s="1707"/>
      <c r="L1735" s="1704"/>
      <c r="M1735" s="1704"/>
    </row>
    <row r="1736" spans="5:13" ht="15">
      <c r="E1736" s="1645"/>
      <c r="F1736" s="1707"/>
      <c r="G1736" s="1707"/>
      <c r="H1736" s="1707"/>
      <c r="I1736" s="1707"/>
      <c r="J1736" s="1707"/>
      <c r="K1736" s="1707"/>
      <c r="L1736" s="1704"/>
      <c r="M1736" s="1704"/>
    </row>
    <row r="1737" spans="5:13" ht="15">
      <c r="E1737" s="1645"/>
      <c r="F1737" s="1707"/>
      <c r="G1737" s="1707"/>
      <c r="H1737" s="1707"/>
      <c r="I1737" s="1707"/>
      <c r="J1737" s="1707"/>
      <c r="K1737" s="1707"/>
      <c r="L1737" s="1704"/>
      <c r="M1737" s="1704"/>
    </row>
    <row r="1738" spans="5:13" ht="15">
      <c r="E1738" s="1645"/>
      <c r="F1738" s="1707"/>
      <c r="G1738" s="1707"/>
      <c r="H1738" s="1707"/>
      <c r="I1738" s="1707"/>
      <c r="J1738" s="1707"/>
      <c r="K1738" s="1707"/>
      <c r="L1738" s="1704"/>
      <c r="M1738" s="1704"/>
    </row>
    <row r="1739" spans="5:13" ht="15">
      <c r="E1739" s="1645"/>
      <c r="F1739" s="1707"/>
      <c r="G1739" s="1707"/>
      <c r="H1739" s="1707"/>
      <c r="I1739" s="1707"/>
      <c r="J1739" s="1707"/>
      <c r="K1739" s="1707"/>
      <c r="L1739" s="1704"/>
      <c r="M1739" s="1704"/>
    </row>
    <row r="1740" spans="5:13" ht="15">
      <c r="E1740" s="1645"/>
      <c r="F1740" s="1707"/>
      <c r="G1740" s="1707"/>
      <c r="H1740" s="1707"/>
      <c r="I1740" s="1707"/>
      <c r="J1740" s="1707"/>
      <c r="K1740" s="1707"/>
      <c r="L1740" s="1704"/>
      <c r="M1740" s="1704"/>
    </row>
    <row r="1741" spans="5:13" ht="15">
      <c r="E1741" s="1645"/>
      <c r="F1741" s="1707"/>
      <c r="G1741" s="1707"/>
      <c r="H1741" s="1707"/>
      <c r="I1741" s="1707"/>
      <c r="J1741" s="1707"/>
      <c r="K1741" s="1707"/>
      <c r="L1741" s="1704"/>
      <c r="M1741" s="1704"/>
    </row>
    <row r="1742" spans="5:13" ht="15">
      <c r="E1742" s="1645"/>
      <c r="F1742" s="1707"/>
      <c r="G1742" s="1707"/>
      <c r="H1742" s="1707"/>
      <c r="I1742" s="1707"/>
      <c r="J1742" s="1707"/>
      <c r="K1742" s="1707"/>
      <c r="L1742" s="1704"/>
      <c r="M1742" s="1704"/>
    </row>
    <row r="1743" spans="5:13" ht="15">
      <c r="E1743" s="1645"/>
      <c r="F1743" s="1707"/>
      <c r="G1743" s="1707"/>
      <c r="H1743" s="1707"/>
      <c r="I1743" s="1707"/>
      <c r="J1743" s="1707"/>
      <c r="K1743" s="1707"/>
      <c r="L1743" s="1704"/>
      <c r="M1743" s="1704"/>
    </row>
    <row r="1744" spans="5:13" ht="15">
      <c r="E1744" s="1645"/>
      <c r="F1744" s="1707"/>
      <c r="G1744" s="1707"/>
      <c r="H1744" s="1707"/>
      <c r="I1744" s="1707"/>
      <c r="J1744" s="1707"/>
      <c r="K1744" s="1707"/>
      <c r="L1744" s="1704"/>
      <c r="M1744" s="1704"/>
    </row>
    <row r="1745" spans="5:13" ht="15">
      <c r="E1745" s="1645"/>
      <c r="F1745" s="1707"/>
      <c r="G1745" s="1707"/>
      <c r="H1745" s="1707"/>
      <c r="I1745" s="1707"/>
      <c r="J1745" s="1707"/>
      <c r="K1745" s="1707"/>
      <c r="L1745" s="1704"/>
      <c r="M1745" s="1704"/>
    </row>
    <row r="1746" spans="5:13" ht="15">
      <c r="E1746" s="1645"/>
      <c r="F1746" s="1707"/>
      <c r="G1746" s="1707"/>
      <c r="H1746" s="1707"/>
      <c r="I1746" s="1707"/>
      <c r="J1746" s="1707"/>
      <c r="K1746" s="1707"/>
      <c r="L1746" s="1704"/>
      <c r="M1746" s="1704"/>
    </row>
    <row r="1747" spans="5:13" ht="15">
      <c r="E1747" s="1645"/>
      <c r="F1747" s="1707"/>
      <c r="G1747" s="1707"/>
      <c r="H1747" s="1707"/>
      <c r="I1747" s="1707"/>
      <c r="J1747" s="1707"/>
      <c r="K1747" s="1707"/>
      <c r="L1747" s="1704"/>
      <c r="M1747" s="1704"/>
    </row>
    <row r="1748" spans="5:13" ht="15">
      <c r="E1748" s="1645"/>
      <c r="F1748" s="1707"/>
      <c r="G1748" s="1707"/>
      <c r="H1748" s="1707"/>
      <c r="I1748" s="1707"/>
      <c r="J1748" s="1707"/>
      <c r="K1748" s="1707"/>
      <c r="L1748" s="1704"/>
      <c r="M1748" s="1704"/>
    </row>
    <row r="1749" spans="5:13" ht="15">
      <c r="E1749" s="1645"/>
      <c r="F1749" s="1707"/>
      <c r="G1749" s="1707"/>
      <c r="H1749" s="1707"/>
      <c r="I1749" s="1707"/>
      <c r="J1749" s="1707"/>
      <c r="K1749" s="1707"/>
      <c r="L1749" s="1704"/>
      <c r="M1749" s="1704"/>
    </row>
    <row r="1750" spans="5:13" ht="15">
      <c r="E1750" s="1645"/>
      <c r="F1750" s="1707"/>
      <c r="G1750" s="1707"/>
      <c r="H1750" s="1707"/>
      <c r="I1750" s="1707"/>
      <c r="J1750" s="1707"/>
      <c r="K1750" s="1707"/>
      <c r="L1750" s="1704"/>
      <c r="M1750" s="1704"/>
    </row>
    <row r="1751" spans="5:13" ht="15">
      <c r="E1751" s="1645"/>
      <c r="F1751" s="1707"/>
      <c r="G1751" s="1707"/>
      <c r="H1751" s="1707"/>
      <c r="I1751" s="1707"/>
      <c r="J1751" s="1707"/>
      <c r="K1751" s="1707"/>
      <c r="L1751" s="1704"/>
      <c r="M1751" s="1704"/>
    </row>
    <row r="1752" spans="5:13" ht="15">
      <c r="E1752" s="1645"/>
      <c r="F1752" s="1707"/>
      <c r="G1752" s="1707"/>
      <c r="H1752" s="1707"/>
      <c r="I1752" s="1707"/>
      <c r="J1752" s="1707"/>
      <c r="K1752" s="1707"/>
      <c r="L1752" s="1704"/>
      <c r="M1752" s="1704"/>
    </row>
    <row r="1753" spans="5:13" ht="15">
      <c r="E1753" s="1645"/>
      <c r="F1753" s="1707"/>
      <c r="G1753" s="1707"/>
      <c r="H1753" s="1707"/>
      <c r="I1753" s="1707"/>
      <c r="J1753" s="1707"/>
      <c r="K1753" s="1707"/>
      <c r="L1753" s="1704"/>
      <c r="M1753" s="1704"/>
    </row>
    <row r="1754" spans="5:13" ht="15">
      <c r="E1754" s="1645"/>
      <c r="F1754" s="1707"/>
      <c r="G1754" s="1707"/>
      <c r="H1754" s="1707"/>
      <c r="I1754" s="1707"/>
      <c r="J1754" s="1707"/>
      <c r="K1754" s="1707"/>
      <c r="L1754" s="1704"/>
      <c r="M1754" s="1704"/>
    </row>
    <row r="1755" spans="5:13" ht="15">
      <c r="E1755" s="1645"/>
      <c r="F1755" s="1707"/>
      <c r="G1755" s="1707"/>
      <c r="H1755" s="1707"/>
      <c r="I1755" s="1707"/>
      <c r="J1755" s="1707"/>
      <c r="K1755" s="1707"/>
      <c r="L1755" s="1704"/>
      <c r="M1755" s="1704"/>
    </row>
    <row r="1756" spans="5:13" ht="15">
      <c r="E1756" s="1645"/>
      <c r="F1756" s="1707"/>
      <c r="G1756" s="1707"/>
      <c r="H1756" s="1707"/>
      <c r="I1756" s="1707"/>
      <c r="J1756" s="1707"/>
      <c r="K1756" s="1707"/>
      <c r="L1756" s="1704"/>
      <c r="M1756" s="1704"/>
    </row>
    <row r="1757" spans="5:13" ht="15">
      <c r="E1757" s="1645"/>
      <c r="F1757" s="1707"/>
      <c r="G1757" s="1707"/>
      <c r="H1757" s="1707"/>
      <c r="I1757" s="1707"/>
      <c r="J1757" s="1707"/>
      <c r="K1757" s="1707"/>
      <c r="L1757" s="1704"/>
      <c r="M1757" s="1704"/>
    </row>
    <row r="1758" spans="5:13" ht="15">
      <c r="E1758" s="1645"/>
      <c r="F1758" s="1707"/>
      <c r="G1758" s="1707"/>
      <c r="H1758" s="1707"/>
      <c r="I1758" s="1707"/>
      <c r="J1758" s="1707"/>
      <c r="K1758" s="1707"/>
      <c r="L1758" s="1704"/>
      <c r="M1758" s="1704"/>
    </row>
    <row r="1759" spans="5:13" ht="15">
      <c r="E1759" s="1645"/>
      <c r="F1759" s="1707"/>
      <c r="G1759" s="1707"/>
      <c r="H1759" s="1707"/>
      <c r="I1759" s="1707"/>
      <c r="J1759" s="1707"/>
      <c r="K1759" s="1707"/>
      <c r="L1759" s="1704"/>
      <c r="M1759" s="1704"/>
    </row>
    <row r="1760" spans="5:13" ht="15">
      <c r="E1760" s="1645"/>
      <c r="F1760" s="1707"/>
      <c r="G1760" s="1707"/>
      <c r="H1760" s="1707"/>
      <c r="I1760" s="1707"/>
      <c r="J1760" s="1707"/>
      <c r="K1760" s="1707"/>
      <c r="L1760" s="1704"/>
      <c r="M1760" s="1704"/>
    </row>
    <row r="1761" spans="5:13" ht="15">
      <c r="E1761" s="1645"/>
      <c r="F1761" s="1707"/>
      <c r="G1761" s="1707"/>
      <c r="H1761" s="1707"/>
      <c r="I1761" s="1707"/>
      <c r="J1761" s="1707"/>
      <c r="K1761" s="1707"/>
      <c r="L1761" s="1704"/>
      <c r="M1761" s="1704"/>
    </row>
    <row r="1762" spans="5:13" ht="15">
      <c r="E1762" s="1645"/>
      <c r="F1762" s="1707"/>
      <c r="G1762" s="1707"/>
      <c r="H1762" s="1707"/>
      <c r="I1762" s="1707"/>
      <c r="J1762" s="1707"/>
      <c r="K1762" s="1707"/>
      <c r="L1762" s="1704"/>
      <c r="M1762" s="1704"/>
    </row>
    <row r="1763" spans="5:13" ht="15">
      <c r="E1763" s="1645"/>
      <c r="F1763" s="1707"/>
      <c r="G1763" s="1707"/>
      <c r="H1763" s="1707"/>
      <c r="I1763" s="1707"/>
      <c r="J1763" s="1707"/>
      <c r="K1763" s="1707"/>
      <c r="L1763" s="1704"/>
      <c r="M1763" s="1704"/>
    </row>
    <row r="1764" spans="5:13" ht="15">
      <c r="E1764" s="1645"/>
      <c r="F1764" s="1707"/>
      <c r="G1764" s="1707"/>
      <c r="H1764" s="1707"/>
      <c r="I1764" s="1707"/>
      <c r="J1764" s="1707"/>
      <c r="K1764" s="1707"/>
      <c r="L1764" s="1704"/>
      <c r="M1764" s="1704"/>
    </row>
    <row r="1765" spans="5:13" ht="15">
      <c r="E1765" s="1645"/>
      <c r="F1765" s="1707"/>
      <c r="G1765" s="1707"/>
      <c r="H1765" s="1707"/>
      <c r="I1765" s="1707"/>
      <c r="J1765" s="1707"/>
      <c r="K1765" s="1707"/>
      <c r="L1765" s="1704"/>
      <c r="M1765" s="1704"/>
    </row>
    <row r="1766" spans="5:13" ht="15">
      <c r="E1766" s="1645"/>
      <c r="F1766" s="1707"/>
      <c r="G1766" s="1707"/>
      <c r="H1766" s="1707"/>
      <c r="I1766" s="1707"/>
      <c r="J1766" s="1707"/>
      <c r="K1766" s="1707"/>
      <c r="L1766" s="1704"/>
      <c r="M1766" s="1704"/>
    </row>
    <row r="1767" spans="5:13" ht="15">
      <c r="E1767" s="1645"/>
      <c r="F1767" s="1707"/>
      <c r="G1767" s="1707"/>
      <c r="H1767" s="1707"/>
      <c r="I1767" s="1707"/>
      <c r="J1767" s="1707"/>
      <c r="K1767" s="1707"/>
      <c r="L1767" s="1704"/>
      <c r="M1767" s="1704"/>
    </row>
    <row r="1768" spans="5:13" ht="15">
      <c r="E1768" s="1645"/>
      <c r="F1768" s="1707"/>
      <c r="G1768" s="1707"/>
      <c r="H1768" s="1707"/>
      <c r="I1768" s="1707"/>
      <c r="J1768" s="1707"/>
      <c r="K1768" s="1707"/>
      <c r="L1768" s="1704"/>
      <c r="M1768" s="1704"/>
    </row>
    <row r="1769" spans="5:13" ht="15">
      <c r="E1769" s="1645"/>
      <c r="F1769" s="1707"/>
      <c r="G1769" s="1707"/>
      <c r="H1769" s="1707"/>
      <c r="I1769" s="1707"/>
      <c r="J1769" s="1707"/>
      <c r="K1769" s="1707"/>
      <c r="L1769" s="1704"/>
      <c r="M1769" s="1704"/>
    </row>
    <row r="1770" spans="5:13" ht="15">
      <c r="E1770" s="1645"/>
      <c r="F1770" s="1707"/>
      <c r="G1770" s="1707"/>
      <c r="H1770" s="1707"/>
      <c r="I1770" s="1707"/>
      <c r="J1770" s="1707"/>
      <c r="K1770" s="1707"/>
      <c r="L1770" s="1704"/>
      <c r="M1770" s="1704"/>
    </row>
    <row r="1771" spans="5:13" ht="15">
      <c r="E1771" s="1645"/>
      <c r="F1771" s="1707"/>
      <c r="G1771" s="1707"/>
      <c r="H1771" s="1707"/>
      <c r="I1771" s="1707"/>
      <c r="J1771" s="1707"/>
      <c r="K1771" s="1707"/>
      <c r="L1771" s="1704"/>
      <c r="M1771" s="1704"/>
    </row>
    <row r="1772" spans="5:13" ht="15">
      <c r="E1772" s="1645"/>
      <c r="F1772" s="1707"/>
      <c r="G1772" s="1707"/>
      <c r="H1772" s="1707"/>
      <c r="I1772" s="1707"/>
      <c r="J1772" s="1707"/>
      <c r="K1772" s="1707"/>
      <c r="L1772" s="1704"/>
      <c r="M1772" s="1704"/>
    </row>
    <row r="1773" spans="5:13" ht="15">
      <c r="E1773" s="1645"/>
      <c r="F1773" s="1707"/>
      <c r="G1773" s="1707"/>
      <c r="H1773" s="1707"/>
      <c r="I1773" s="1707"/>
      <c r="J1773" s="1707"/>
      <c r="K1773" s="1707"/>
      <c r="L1773" s="1704"/>
      <c r="M1773" s="1704"/>
    </row>
    <row r="1774" spans="5:13" ht="15">
      <c r="E1774" s="1645"/>
      <c r="F1774" s="1707"/>
      <c r="G1774" s="1707"/>
      <c r="H1774" s="1707"/>
      <c r="I1774" s="1707"/>
      <c r="J1774" s="1707"/>
      <c r="K1774" s="1707"/>
      <c r="L1774" s="1704"/>
      <c r="M1774" s="1704"/>
    </row>
    <row r="1775" spans="5:13" ht="15">
      <c r="E1775" s="1645"/>
      <c r="F1775" s="1707"/>
      <c r="G1775" s="1707"/>
      <c r="H1775" s="1707"/>
      <c r="I1775" s="1707"/>
      <c r="J1775" s="1707"/>
      <c r="K1775" s="1707"/>
      <c r="L1775" s="1704"/>
      <c r="M1775" s="1704"/>
    </row>
    <row r="1776" spans="5:13" ht="15">
      <c r="E1776" s="1645"/>
      <c r="F1776" s="1707"/>
      <c r="G1776" s="1707"/>
      <c r="H1776" s="1707"/>
      <c r="I1776" s="1707"/>
      <c r="J1776" s="1707"/>
      <c r="K1776" s="1707"/>
      <c r="L1776" s="1704"/>
      <c r="M1776" s="1704"/>
    </row>
    <row r="1777" spans="5:13" ht="15">
      <c r="E1777" s="1645"/>
      <c r="F1777" s="1707"/>
      <c r="G1777" s="1707"/>
      <c r="H1777" s="1707"/>
      <c r="I1777" s="1707"/>
      <c r="J1777" s="1707"/>
      <c r="K1777" s="1707"/>
      <c r="L1777" s="1704"/>
      <c r="M1777" s="1704"/>
    </row>
    <row r="1778" spans="5:13" ht="15">
      <c r="E1778" s="1645"/>
      <c r="F1778" s="1707"/>
      <c r="G1778" s="1707"/>
      <c r="H1778" s="1707"/>
      <c r="I1778" s="1707"/>
      <c r="J1778" s="1707"/>
      <c r="K1778" s="1707"/>
      <c r="L1778" s="1704"/>
      <c r="M1778" s="1704"/>
    </row>
    <row r="1779" spans="5:13" ht="15">
      <c r="E1779" s="1645"/>
      <c r="F1779" s="1707"/>
      <c r="G1779" s="1707"/>
      <c r="H1779" s="1707"/>
      <c r="I1779" s="1707"/>
      <c r="J1779" s="1707"/>
      <c r="K1779" s="1707"/>
      <c r="L1779" s="1704"/>
      <c r="M1779" s="1704"/>
    </row>
    <row r="1780" spans="5:13" ht="15">
      <c r="E1780" s="1645"/>
      <c r="F1780" s="1707"/>
      <c r="G1780" s="1707"/>
      <c r="H1780" s="1707"/>
      <c r="I1780" s="1707"/>
      <c r="J1780" s="1707"/>
      <c r="K1780" s="1707"/>
      <c r="L1780" s="1704"/>
      <c r="M1780" s="1704"/>
    </row>
    <row r="1781" spans="5:13" ht="15">
      <c r="E1781" s="1645"/>
      <c r="F1781" s="1707"/>
      <c r="G1781" s="1707"/>
      <c r="H1781" s="1707"/>
      <c r="I1781" s="1707"/>
      <c r="J1781" s="1707"/>
      <c r="K1781" s="1707"/>
      <c r="L1781" s="1704"/>
      <c r="M1781" s="1704"/>
    </row>
    <row r="1782" spans="5:13" ht="15">
      <c r="E1782" s="1645"/>
      <c r="F1782" s="1707"/>
      <c r="G1782" s="1707"/>
      <c r="H1782" s="1707"/>
      <c r="I1782" s="1707"/>
      <c r="J1782" s="1707"/>
      <c r="K1782" s="1707"/>
      <c r="L1782" s="1704"/>
      <c r="M1782" s="1704"/>
    </row>
    <row r="1783" spans="5:13" ht="15">
      <c r="E1783" s="1645"/>
      <c r="F1783" s="1707"/>
      <c r="G1783" s="1707"/>
      <c r="H1783" s="1707"/>
      <c r="I1783" s="1707"/>
      <c r="J1783" s="1707"/>
      <c r="K1783" s="1707"/>
      <c r="L1783" s="1704"/>
      <c r="M1783" s="1704"/>
    </row>
    <row r="1784" spans="5:13" ht="15">
      <c r="E1784" s="1645"/>
      <c r="F1784" s="1707"/>
      <c r="G1784" s="1707"/>
      <c r="H1784" s="1707"/>
      <c r="I1784" s="1707"/>
      <c r="J1784" s="1707"/>
      <c r="K1784" s="1707"/>
      <c r="L1784" s="1704"/>
      <c r="M1784" s="1704"/>
    </row>
    <row r="1785" spans="5:13" ht="15">
      <c r="E1785" s="1645"/>
      <c r="F1785" s="1707"/>
      <c r="G1785" s="1707"/>
      <c r="H1785" s="1707"/>
      <c r="I1785" s="1707"/>
      <c r="J1785" s="1707"/>
      <c r="K1785" s="1707"/>
      <c r="L1785" s="1704"/>
      <c r="M1785" s="1704"/>
    </row>
    <row r="1786" spans="5:13" ht="15">
      <c r="E1786" s="1645"/>
      <c r="F1786" s="1707"/>
      <c r="G1786" s="1707"/>
      <c r="H1786" s="1707"/>
      <c r="I1786" s="1707"/>
      <c r="J1786" s="1707"/>
      <c r="K1786" s="1707"/>
      <c r="L1786" s="1704"/>
      <c r="M1786" s="1704"/>
    </row>
    <row r="1787" spans="5:13" ht="15">
      <c r="E1787" s="1645"/>
      <c r="F1787" s="1707"/>
      <c r="G1787" s="1707"/>
      <c r="H1787" s="1707"/>
      <c r="I1787" s="1707"/>
      <c r="J1787" s="1707"/>
      <c r="K1787" s="1707"/>
      <c r="L1787" s="1704"/>
      <c r="M1787" s="1704"/>
    </row>
    <row r="1788" spans="5:13" ht="15">
      <c r="E1788" s="1645"/>
      <c r="F1788" s="1707"/>
      <c r="G1788" s="1707"/>
      <c r="H1788" s="1707"/>
      <c r="I1788" s="1707"/>
      <c r="J1788" s="1707"/>
      <c r="K1788" s="1707"/>
      <c r="L1788" s="1704"/>
      <c r="M1788" s="1704"/>
    </row>
    <row r="1789" spans="5:13" ht="15">
      <c r="E1789" s="1645"/>
      <c r="F1789" s="1707"/>
      <c r="G1789" s="1707"/>
      <c r="H1789" s="1707"/>
      <c r="I1789" s="1707"/>
      <c r="J1789" s="1707"/>
      <c r="K1789" s="1707"/>
      <c r="L1789" s="1704"/>
      <c r="M1789" s="1704"/>
    </row>
    <row r="1790" spans="5:13" ht="15">
      <c r="E1790" s="1645"/>
      <c r="F1790" s="1707"/>
      <c r="G1790" s="1707"/>
      <c r="H1790" s="1707"/>
      <c r="I1790" s="1707"/>
      <c r="J1790" s="1707"/>
      <c r="K1790" s="1707"/>
      <c r="L1790" s="1704"/>
      <c r="M1790" s="1704"/>
    </row>
    <row r="1791" spans="5:13" ht="15">
      <c r="E1791" s="1645"/>
      <c r="F1791" s="1707"/>
      <c r="G1791" s="1707"/>
      <c r="H1791" s="1707"/>
      <c r="I1791" s="1707"/>
      <c r="J1791" s="1707"/>
      <c r="K1791" s="1707"/>
      <c r="L1791" s="1704"/>
      <c r="M1791" s="1704"/>
    </row>
    <row r="1792" spans="5:13" ht="15">
      <c r="E1792" s="1645"/>
      <c r="F1792" s="1707"/>
      <c r="G1792" s="1707"/>
      <c r="H1792" s="1707"/>
      <c r="I1792" s="1707"/>
      <c r="J1792" s="1707"/>
      <c r="K1792" s="1707"/>
      <c r="L1792" s="1704"/>
      <c r="M1792" s="1704"/>
    </row>
    <row r="1793" spans="5:13" ht="15">
      <c r="E1793" s="1645"/>
      <c r="F1793" s="1707"/>
      <c r="G1793" s="1707"/>
      <c r="H1793" s="1707"/>
      <c r="I1793" s="1707"/>
      <c r="J1793" s="1707"/>
      <c r="K1793" s="1707"/>
      <c r="L1793" s="1704"/>
      <c r="M1793" s="1704"/>
    </row>
    <row r="1794" spans="5:13" ht="15">
      <c r="E1794" s="1645"/>
      <c r="F1794" s="1707"/>
      <c r="G1794" s="1707"/>
      <c r="H1794" s="1707"/>
      <c r="I1794" s="1707"/>
      <c r="J1794" s="1707"/>
      <c r="K1794" s="1707"/>
      <c r="L1794" s="1704"/>
      <c r="M1794" s="1704"/>
    </row>
    <row r="1795" spans="5:13" ht="15">
      <c r="E1795" s="1645"/>
      <c r="F1795" s="1707"/>
      <c r="G1795" s="1707"/>
      <c r="H1795" s="1707"/>
      <c r="I1795" s="1707"/>
      <c r="J1795" s="1707"/>
      <c r="K1795" s="1707"/>
      <c r="L1795" s="1704"/>
      <c r="M1795" s="1704"/>
    </row>
    <row r="1796" spans="5:13" ht="15">
      <c r="E1796" s="1645"/>
      <c r="F1796" s="1707"/>
      <c r="G1796" s="1707"/>
      <c r="H1796" s="1707"/>
      <c r="I1796" s="1707"/>
      <c r="J1796" s="1707"/>
      <c r="K1796" s="1707"/>
      <c r="L1796" s="1704"/>
      <c r="M1796" s="1704"/>
    </row>
    <row r="1797" spans="5:13" ht="15">
      <c r="E1797" s="1645"/>
      <c r="F1797" s="1707"/>
      <c r="G1797" s="1707"/>
      <c r="H1797" s="1707"/>
      <c r="I1797" s="1707"/>
      <c r="J1797" s="1707"/>
      <c r="K1797" s="1707"/>
      <c r="L1797" s="1704"/>
      <c r="M1797" s="1704"/>
    </row>
    <row r="1798" spans="5:13" ht="15">
      <c r="E1798" s="1645"/>
      <c r="F1798" s="1707"/>
      <c r="G1798" s="1707"/>
      <c r="H1798" s="1707"/>
      <c r="I1798" s="1707"/>
      <c r="J1798" s="1707"/>
      <c r="K1798" s="1707"/>
      <c r="L1798" s="1704"/>
      <c r="M1798" s="1704"/>
    </row>
    <row r="1799" spans="5:13" ht="15">
      <c r="E1799" s="1645"/>
      <c r="F1799" s="1707"/>
      <c r="G1799" s="1707"/>
      <c r="H1799" s="1707"/>
      <c r="I1799" s="1707"/>
      <c r="J1799" s="1707"/>
      <c r="K1799" s="1707"/>
      <c r="L1799" s="1704"/>
      <c r="M1799" s="1704"/>
    </row>
    <row r="1800" spans="5:13" ht="15">
      <c r="E1800" s="1645"/>
      <c r="F1800" s="1707"/>
      <c r="G1800" s="1707"/>
      <c r="H1800" s="1707"/>
      <c r="I1800" s="1707"/>
      <c r="J1800" s="1707"/>
      <c r="K1800" s="1707"/>
      <c r="L1800" s="1704"/>
      <c r="M1800" s="1704"/>
    </row>
    <row r="1801" spans="5:13" ht="15">
      <c r="E1801" s="1645"/>
      <c r="F1801" s="1707"/>
      <c r="G1801" s="1707"/>
      <c r="H1801" s="1707"/>
      <c r="I1801" s="1707"/>
      <c r="J1801" s="1707"/>
      <c r="K1801" s="1707"/>
      <c r="L1801" s="1704"/>
      <c r="M1801" s="1704"/>
    </row>
    <row r="1802" spans="5:13" ht="15">
      <c r="E1802" s="1645"/>
      <c r="F1802" s="1707"/>
      <c r="G1802" s="1707"/>
      <c r="H1802" s="1707"/>
      <c r="I1802" s="1707"/>
      <c r="J1802" s="1707"/>
      <c r="K1802" s="1707"/>
      <c r="L1802" s="1704"/>
      <c r="M1802" s="1704"/>
    </row>
    <row r="1803" spans="5:13" ht="15">
      <c r="E1803" s="1645"/>
      <c r="F1803" s="1707"/>
      <c r="G1803" s="1707"/>
      <c r="H1803" s="1707"/>
      <c r="I1803" s="1707"/>
      <c r="J1803" s="1707"/>
      <c r="K1803" s="1707"/>
      <c r="L1803" s="1704"/>
      <c r="M1803" s="1704"/>
    </row>
    <row r="1804" spans="5:13" ht="15">
      <c r="E1804" s="1645"/>
      <c r="F1804" s="1707"/>
      <c r="G1804" s="1707"/>
      <c r="H1804" s="1707"/>
      <c r="I1804" s="1707"/>
      <c r="J1804" s="1707"/>
      <c r="K1804" s="1707"/>
      <c r="L1804" s="1704"/>
      <c r="M1804" s="1704"/>
    </row>
    <row r="1805" spans="5:13" ht="15">
      <c r="E1805" s="1645"/>
      <c r="F1805" s="1707"/>
      <c r="G1805" s="1707"/>
      <c r="H1805" s="1707"/>
      <c r="I1805" s="1707"/>
      <c r="J1805" s="1707"/>
      <c r="K1805" s="1707"/>
      <c r="L1805" s="1704"/>
      <c r="M1805" s="1704"/>
    </row>
    <row r="1806" spans="5:13" ht="15">
      <c r="E1806" s="1645"/>
      <c r="F1806" s="1707"/>
      <c r="G1806" s="1707"/>
      <c r="H1806" s="1707"/>
      <c r="I1806" s="1707"/>
      <c r="J1806" s="1707"/>
      <c r="K1806" s="1707"/>
      <c r="L1806" s="1704"/>
      <c r="M1806" s="1704"/>
    </row>
    <row r="1807" spans="5:13" ht="15">
      <c r="E1807" s="1645"/>
      <c r="F1807" s="1707"/>
      <c r="G1807" s="1707"/>
      <c r="H1807" s="1707"/>
      <c r="I1807" s="1707"/>
      <c r="J1807" s="1707"/>
      <c r="K1807" s="1707"/>
      <c r="L1807" s="1704"/>
      <c r="M1807" s="1704"/>
    </row>
    <row r="1808" spans="5:13" ht="15">
      <c r="E1808" s="1645"/>
      <c r="F1808" s="1707"/>
      <c r="G1808" s="1707"/>
      <c r="H1808" s="1707"/>
      <c r="I1808" s="1707"/>
      <c r="J1808" s="1707"/>
      <c r="K1808" s="1707"/>
      <c r="L1808" s="1704"/>
      <c r="M1808" s="1704"/>
    </row>
    <row r="1809" spans="5:13" ht="15">
      <c r="E1809" s="1645"/>
      <c r="F1809" s="1707"/>
      <c r="G1809" s="1707"/>
      <c r="H1809" s="1707"/>
      <c r="I1809" s="1707"/>
      <c r="J1809" s="1707"/>
      <c r="K1809" s="1707"/>
      <c r="L1809" s="1704"/>
      <c r="M1809" s="1704"/>
    </row>
    <row r="1810" spans="5:13" ht="15">
      <c r="E1810" s="1645"/>
      <c r="F1810" s="1707"/>
      <c r="G1810" s="1707"/>
      <c r="H1810" s="1707"/>
      <c r="I1810" s="1707"/>
      <c r="J1810" s="1707"/>
      <c r="K1810" s="1707"/>
      <c r="L1810" s="1704"/>
      <c r="M1810" s="1704"/>
    </row>
    <row r="1811" spans="5:13" ht="15">
      <c r="E1811" s="1645"/>
      <c r="F1811" s="1707"/>
      <c r="G1811" s="1707"/>
      <c r="H1811" s="1707"/>
      <c r="I1811" s="1707"/>
      <c r="J1811" s="1707"/>
      <c r="K1811" s="1707"/>
      <c r="L1811" s="1704"/>
      <c r="M1811" s="1704"/>
    </row>
    <row r="1812" spans="5:13" ht="15">
      <c r="E1812" s="1645"/>
      <c r="F1812" s="1707"/>
      <c r="G1812" s="1707"/>
      <c r="H1812" s="1707"/>
      <c r="I1812" s="1707"/>
      <c r="J1812" s="1707"/>
      <c r="K1812" s="1707"/>
      <c r="L1812" s="1704"/>
      <c r="M1812" s="1704"/>
    </row>
    <row r="1813" spans="5:13" ht="15">
      <c r="E1813" s="1645"/>
      <c r="F1813" s="1707"/>
      <c r="G1813" s="1707"/>
      <c r="H1813" s="1707"/>
      <c r="I1813" s="1707"/>
      <c r="J1813" s="1707"/>
      <c r="K1813" s="1707"/>
      <c r="L1813" s="1704"/>
      <c r="M1813" s="1704"/>
    </row>
    <row r="1814" spans="5:13" ht="15">
      <c r="E1814" s="1645"/>
      <c r="F1814" s="1707"/>
      <c r="G1814" s="1707"/>
      <c r="H1814" s="1707"/>
      <c r="I1814" s="1707"/>
      <c r="J1814" s="1707"/>
      <c r="K1814" s="1707"/>
      <c r="L1814" s="1704"/>
      <c r="M1814" s="1704"/>
    </row>
    <row r="1815" spans="5:13" ht="15">
      <c r="E1815" s="1645"/>
      <c r="F1815" s="1707"/>
      <c r="G1815" s="1707"/>
      <c r="H1815" s="1707"/>
      <c r="I1815" s="1707"/>
      <c r="J1815" s="1707"/>
      <c r="K1815" s="1707"/>
      <c r="L1815" s="1704"/>
      <c r="M1815" s="1704"/>
    </row>
    <row r="1816" spans="5:13" ht="15">
      <c r="E1816" s="1645"/>
      <c r="F1816" s="1707"/>
      <c r="G1816" s="1707"/>
      <c r="H1816" s="1707"/>
      <c r="I1816" s="1707"/>
      <c r="J1816" s="1707"/>
      <c r="K1816" s="1707"/>
      <c r="L1816" s="1704"/>
      <c r="M1816" s="1704"/>
    </row>
    <row r="1817" spans="5:13" ht="15">
      <c r="E1817" s="1645"/>
      <c r="F1817" s="1707"/>
      <c r="G1817" s="1707"/>
      <c r="H1817" s="1707"/>
      <c r="I1817" s="1707"/>
      <c r="J1817" s="1707"/>
      <c r="K1817" s="1707"/>
      <c r="L1817" s="1704"/>
      <c r="M1817" s="1704"/>
    </row>
    <row r="1818" spans="5:13" ht="15">
      <c r="E1818" s="1645"/>
      <c r="F1818" s="1707"/>
      <c r="G1818" s="1707"/>
      <c r="H1818" s="1707"/>
      <c r="I1818" s="1707"/>
      <c r="J1818" s="1707"/>
      <c r="K1818" s="1707"/>
      <c r="L1818" s="1704"/>
      <c r="M1818" s="1704"/>
    </row>
    <row r="1819" spans="5:13" ht="15">
      <c r="E1819" s="1645"/>
      <c r="F1819" s="1707"/>
      <c r="G1819" s="1707"/>
      <c r="H1819" s="1707"/>
      <c r="I1819" s="1707"/>
      <c r="J1819" s="1707"/>
      <c r="K1819" s="1707"/>
      <c r="L1819" s="1704"/>
      <c r="M1819" s="1704"/>
    </row>
    <row r="1820" spans="5:13" ht="15">
      <c r="E1820" s="1645"/>
      <c r="F1820" s="1707"/>
      <c r="G1820" s="1707"/>
      <c r="H1820" s="1707"/>
      <c r="I1820" s="1707"/>
      <c r="J1820" s="1707"/>
      <c r="K1820" s="1707"/>
      <c r="L1820" s="1704"/>
      <c r="M1820" s="1704"/>
    </row>
    <row r="1821" spans="5:13" ht="15">
      <c r="E1821" s="1645"/>
      <c r="F1821" s="1707"/>
      <c r="G1821" s="1707"/>
      <c r="H1821" s="1707"/>
      <c r="I1821" s="1707"/>
      <c r="J1821" s="1707"/>
      <c r="K1821" s="1707"/>
      <c r="L1821" s="1704"/>
      <c r="M1821" s="1704"/>
    </row>
    <row r="1822" spans="5:13" ht="15">
      <c r="E1822" s="1645"/>
      <c r="F1822" s="1707"/>
      <c r="G1822" s="1707"/>
      <c r="H1822" s="1707"/>
      <c r="I1822" s="1707"/>
      <c r="J1822" s="1707"/>
      <c r="K1822" s="1707"/>
      <c r="L1822" s="1704"/>
      <c r="M1822" s="1704"/>
    </row>
    <row r="1823" spans="5:13" ht="15">
      <c r="E1823" s="1645"/>
      <c r="F1823" s="1707"/>
      <c r="G1823" s="1707"/>
      <c r="H1823" s="1707"/>
      <c r="I1823" s="1707"/>
      <c r="J1823" s="1707"/>
      <c r="K1823" s="1707"/>
      <c r="L1823" s="1704"/>
      <c r="M1823" s="1704"/>
    </row>
    <row r="1824" spans="5:13" ht="15">
      <c r="E1824" s="1645"/>
      <c r="F1824" s="1707"/>
      <c r="G1824" s="1707"/>
      <c r="H1824" s="1707"/>
      <c r="I1824" s="1707"/>
      <c r="J1824" s="1707"/>
      <c r="K1824" s="1707"/>
      <c r="L1824" s="1704"/>
      <c r="M1824" s="1704"/>
    </row>
    <row r="1825" spans="5:13" ht="15">
      <c r="E1825" s="1645"/>
      <c r="F1825" s="1707"/>
      <c r="G1825" s="1707"/>
      <c r="H1825" s="1707"/>
      <c r="I1825" s="1707"/>
      <c r="J1825" s="1707"/>
      <c r="K1825" s="1707"/>
      <c r="L1825" s="1704"/>
      <c r="M1825" s="1704"/>
    </row>
    <row r="1826" spans="5:13" ht="15">
      <c r="E1826" s="1645"/>
      <c r="F1826" s="1707"/>
      <c r="G1826" s="1707"/>
      <c r="H1826" s="1707"/>
      <c r="I1826" s="1707"/>
      <c r="J1826" s="1707"/>
      <c r="K1826" s="1707"/>
      <c r="L1826" s="1704"/>
      <c r="M1826" s="1704"/>
    </row>
    <row r="1827" spans="5:13" ht="15">
      <c r="E1827" s="1645"/>
      <c r="F1827" s="1707"/>
      <c r="G1827" s="1707"/>
      <c r="H1827" s="1707"/>
      <c r="I1827" s="1707"/>
      <c r="J1827" s="1707"/>
      <c r="K1827" s="1707"/>
      <c r="L1827" s="1704"/>
      <c r="M1827" s="1704"/>
    </row>
    <row r="1828" spans="5:13" ht="15">
      <c r="E1828" s="1645"/>
      <c r="F1828" s="1707"/>
      <c r="G1828" s="1707"/>
      <c r="H1828" s="1707"/>
      <c r="I1828" s="1707"/>
      <c r="J1828" s="1707"/>
      <c r="K1828" s="1707"/>
      <c r="L1828" s="1704"/>
      <c r="M1828" s="1704"/>
    </row>
    <row r="1829" spans="5:13" ht="15">
      <c r="E1829" s="1645"/>
      <c r="F1829" s="1707"/>
      <c r="G1829" s="1707"/>
      <c r="H1829" s="1707"/>
      <c r="I1829" s="1707"/>
      <c r="J1829" s="1707"/>
      <c r="K1829" s="1707"/>
      <c r="L1829" s="1704"/>
      <c r="M1829" s="1704"/>
    </row>
    <row r="1830" spans="5:13" ht="15">
      <c r="E1830" s="1645"/>
      <c r="F1830" s="1707"/>
      <c r="G1830" s="1707"/>
      <c r="H1830" s="1707"/>
      <c r="I1830" s="1707"/>
      <c r="J1830" s="1707"/>
      <c r="K1830" s="1707"/>
      <c r="L1830" s="1704"/>
      <c r="M1830" s="1704"/>
    </row>
    <row r="1831" spans="5:13" ht="15">
      <c r="E1831" s="1645"/>
      <c r="F1831" s="1707"/>
      <c r="G1831" s="1707"/>
      <c r="H1831" s="1707"/>
      <c r="I1831" s="1707"/>
      <c r="J1831" s="1707"/>
      <c r="K1831" s="1707"/>
      <c r="L1831" s="1704"/>
      <c r="M1831" s="1704"/>
    </row>
    <row r="1832" spans="5:13" ht="15">
      <c r="E1832" s="1645"/>
      <c r="F1832" s="1707"/>
      <c r="G1832" s="1707"/>
      <c r="H1832" s="1707"/>
      <c r="I1832" s="1707"/>
      <c r="J1832" s="1707"/>
      <c r="K1832" s="1707"/>
      <c r="L1832" s="1704"/>
      <c r="M1832" s="1704"/>
    </row>
    <row r="1833" spans="5:13" ht="15">
      <c r="E1833" s="1645"/>
      <c r="F1833" s="1707"/>
      <c r="G1833" s="1707"/>
      <c r="H1833" s="1707"/>
      <c r="I1833" s="1707"/>
      <c r="J1833" s="1707"/>
      <c r="K1833" s="1707"/>
      <c r="L1833" s="1704"/>
      <c r="M1833" s="1704"/>
    </row>
    <row r="1834" spans="5:13" ht="15">
      <c r="E1834" s="1645"/>
      <c r="F1834" s="1707"/>
      <c r="G1834" s="1707"/>
      <c r="H1834" s="1707"/>
      <c r="I1834" s="1707"/>
      <c r="J1834" s="1707"/>
      <c r="K1834" s="1707"/>
      <c r="L1834" s="1704"/>
      <c r="M1834" s="1704"/>
    </row>
    <row r="1835" spans="5:13" ht="15">
      <c r="E1835" s="1645"/>
      <c r="F1835" s="1707"/>
      <c r="G1835" s="1707"/>
      <c r="H1835" s="1707"/>
      <c r="I1835" s="1707"/>
      <c r="J1835" s="1707"/>
      <c r="K1835" s="1707"/>
      <c r="L1835" s="1704"/>
      <c r="M1835" s="1704"/>
    </row>
    <row r="1836" spans="5:13" ht="15">
      <c r="E1836" s="1645"/>
      <c r="F1836" s="1707"/>
      <c r="G1836" s="1707"/>
      <c r="H1836" s="1707"/>
      <c r="I1836" s="1707"/>
      <c r="J1836" s="1707"/>
      <c r="K1836" s="1707"/>
      <c r="L1836" s="1704"/>
      <c r="M1836" s="1704"/>
    </row>
    <row r="1837" spans="5:13" ht="15">
      <c r="E1837" s="1645"/>
      <c r="F1837" s="1707"/>
      <c r="G1837" s="1707"/>
      <c r="H1837" s="1707"/>
      <c r="I1837" s="1707"/>
      <c r="J1837" s="1707"/>
      <c r="K1837" s="1707"/>
      <c r="L1837" s="1704"/>
      <c r="M1837" s="1704"/>
    </row>
    <row r="1838" spans="5:13" ht="15">
      <c r="E1838" s="1645"/>
      <c r="F1838" s="1707"/>
      <c r="G1838" s="1707"/>
      <c r="H1838" s="1707"/>
      <c r="I1838" s="1707"/>
      <c r="J1838" s="1707"/>
      <c r="K1838" s="1707"/>
      <c r="L1838" s="1704"/>
      <c r="M1838" s="1704"/>
    </row>
    <row r="1839" spans="5:13" ht="15">
      <c r="E1839" s="1645"/>
      <c r="F1839" s="1707"/>
      <c r="G1839" s="1707"/>
      <c r="H1839" s="1707"/>
      <c r="I1839" s="1707"/>
      <c r="J1839" s="1707"/>
      <c r="K1839" s="1707"/>
      <c r="L1839" s="1704"/>
      <c r="M1839" s="1704"/>
    </row>
    <row r="1840" spans="5:13" ht="15">
      <c r="E1840" s="1645"/>
      <c r="F1840" s="1707"/>
      <c r="G1840" s="1707"/>
      <c r="H1840" s="1707"/>
      <c r="I1840" s="1707"/>
      <c r="J1840" s="1707"/>
      <c r="K1840" s="1707"/>
      <c r="L1840" s="1704"/>
      <c r="M1840" s="1704"/>
    </row>
    <row r="1841" spans="5:13" ht="15">
      <c r="E1841" s="1645"/>
      <c r="F1841" s="1707"/>
      <c r="G1841" s="1707"/>
      <c r="H1841" s="1707"/>
      <c r="I1841" s="1707"/>
      <c r="J1841" s="1707"/>
      <c r="K1841" s="1707"/>
      <c r="L1841" s="1704"/>
      <c r="M1841" s="1704"/>
    </row>
    <row r="1842" spans="5:13" ht="15">
      <c r="E1842" s="1645"/>
      <c r="F1842" s="1707"/>
      <c r="G1842" s="1707"/>
      <c r="H1842" s="1707"/>
      <c r="I1842" s="1707"/>
      <c r="J1842" s="1707"/>
      <c r="K1842" s="1707"/>
      <c r="L1842" s="1704"/>
      <c r="M1842" s="1704"/>
    </row>
    <row r="1843" spans="5:13" ht="15">
      <c r="E1843" s="1645"/>
      <c r="F1843" s="1707"/>
      <c r="G1843" s="1707"/>
      <c r="H1843" s="1707"/>
      <c r="I1843" s="1707"/>
      <c r="J1843" s="1707"/>
      <c r="K1843" s="1707"/>
      <c r="L1843" s="1704"/>
      <c r="M1843" s="1704"/>
    </row>
    <row r="1844" spans="5:13" ht="15">
      <c r="E1844" s="1645"/>
      <c r="F1844" s="1707"/>
      <c r="G1844" s="1707"/>
      <c r="H1844" s="1707"/>
      <c r="I1844" s="1707"/>
      <c r="J1844" s="1707"/>
      <c r="K1844" s="1707"/>
      <c r="L1844" s="1704"/>
      <c r="M1844" s="1704"/>
    </row>
    <row r="1845" spans="5:13" ht="15">
      <c r="E1845" s="1645"/>
      <c r="F1845" s="1707"/>
      <c r="G1845" s="1707"/>
      <c r="H1845" s="1707"/>
      <c r="I1845" s="1707"/>
      <c r="J1845" s="1707"/>
      <c r="K1845" s="1707"/>
      <c r="L1845" s="1704"/>
      <c r="M1845" s="1704"/>
    </row>
    <row r="1846" spans="5:13" ht="15">
      <c r="E1846" s="1645"/>
      <c r="F1846" s="1707"/>
      <c r="G1846" s="1707"/>
      <c r="H1846" s="1707"/>
      <c r="I1846" s="1707"/>
      <c r="J1846" s="1707"/>
      <c r="K1846" s="1707"/>
      <c r="L1846" s="1704"/>
      <c r="M1846" s="1704"/>
    </row>
    <row r="1847" spans="5:13" ht="15">
      <c r="E1847" s="1645"/>
      <c r="F1847" s="1707"/>
      <c r="G1847" s="1707"/>
      <c r="H1847" s="1707"/>
      <c r="I1847" s="1707"/>
      <c r="J1847" s="1707"/>
      <c r="K1847" s="1707"/>
      <c r="L1847" s="1704"/>
      <c r="M1847" s="1704"/>
    </row>
    <row r="1848" spans="5:13" ht="15">
      <c r="E1848" s="1645"/>
      <c r="F1848" s="1707"/>
      <c r="G1848" s="1707"/>
      <c r="H1848" s="1707"/>
      <c r="I1848" s="1707"/>
      <c r="J1848" s="1707"/>
      <c r="K1848" s="1707"/>
      <c r="L1848" s="1704"/>
      <c r="M1848" s="1704"/>
    </row>
    <row r="1849" spans="5:13" ht="15">
      <c r="E1849" s="1645"/>
      <c r="F1849" s="1707"/>
      <c r="G1849" s="1707"/>
      <c r="H1849" s="1707"/>
      <c r="I1849" s="1707"/>
      <c r="J1849" s="1707"/>
      <c r="K1849" s="1707"/>
      <c r="L1849" s="1704"/>
      <c r="M1849" s="1704"/>
    </row>
    <row r="1850" spans="5:13" ht="15">
      <c r="E1850" s="1645"/>
      <c r="F1850" s="1707"/>
      <c r="G1850" s="1707"/>
      <c r="H1850" s="1707"/>
      <c r="I1850" s="1707"/>
      <c r="J1850" s="1707"/>
      <c r="K1850" s="1707"/>
      <c r="L1850" s="1704"/>
      <c r="M1850" s="1704"/>
    </row>
    <row r="1851" spans="5:13" ht="15">
      <c r="E1851" s="1645"/>
      <c r="F1851" s="1707"/>
      <c r="G1851" s="1707"/>
      <c r="H1851" s="1707"/>
      <c r="I1851" s="1707"/>
      <c r="J1851" s="1707"/>
      <c r="K1851" s="1707"/>
      <c r="L1851" s="1704"/>
      <c r="M1851" s="1704"/>
    </row>
    <row r="1852" spans="5:13" ht="15">
      <c r="E1852" s="1645"/>
      <c r="F1852" s="1707"/>
      <c r="G1852" s="1707"/>
      <c r="H1852" s="1707"/>
      <c r="I1852" s="1707"/>
      <c r="J1852" s="1707"/>
      <c r="K1852" s="1707"/>
      <c r="L1852" s="1704"/>
      <c r="M1852" s="1704"/>
    </row>
    <row r="1853" spans="5:13" ht="15">
      <c r="E1853" s="1645"/>
      <c r="F1853" s="1707"/>
      <c r="G1853" s="1707"/>
      <c r="H1853" s="1707"/>
      <c r="I1853" s="1707"/>
      <c r="J1853" s="1707"/>
      <c r="K1853" s="1707"/>
      <c r="L1853" s="1704"/>
      <c r="M1853" s="1704"/>
    </row>
    <row r="1854" spans="5:13" ht="15">
      <c r="E1854" s="1645"/>
      <c r="F1854" s="1707"/>
      <c r="G1854" s="1707"/>
      <c r="H1854" s="1707"/>
      <c r="I1854" s="1707"/>
      <c r="J1854" s="1707"/>
      <c r="K1854" s="1707"/>
      <c r="L1854" s="1704"/>
      <c r="M1854" s="1704"/>
    </row>
    <row r="1855" spans="5:13" ht="15">
      <c r="E1855" s="1645"/>
      <c r="F1855" s="1707"/>
      <c r="G1855" s="1707"/>
      <c r="H1855" s="1707"/>
      <c r="I1855" s="1707"/>
      <c r="J1855" s="1707"/>
      <c r="K1855" s="1707"/>
      <c r="L1855" s="1704"/>
      <c r="M1855" s="1704"/>
    </row>
    <row r="1856" spans="5:13" ht="15">
      <c r="E1856" s="1645"/>
      <c r="F1856" s="1707"/>
      <c r="G1856" s="1707"/>
      <c r="H1856" s="1707"/>
      <c r="I1856" s="1707"/>
      <c r="J1856" s="1707"/>
      <c r="K1856" s="1707"/>
      <c r="L1856" s="1704"/>
      <c r="M1856" s="1704"/>
    </row>
    <row r="1857" spans="5:13" ht="15">
      <c r="E1857" s="1645"/>
      <c r="F1857" s="1707"/>
      <c r="G1857" s="1707"/>
      <c r="H1857" s="1707"/>
      <c r="I1857" s="1707"/>
      <c r="J1857" s="1707"/>
      <c r="K1857" s="1707"/>
      <c r="L1857" s="1704"/>
      <c r="M1857" s="1704"/>
    </row>
    <row r="1858" spans="5:13" ht="15">
      <c r="E1858" s="1645"/>
      <c r="F1858" s="1707"/>
      <c r="G1858" s="1707"/>
      <c r="H1858" s="1707"/>
      <c r="I1858" s="1707"/>
      <c r="J1858" s="1707"/>
      <c r="K1858" s="1707"/>
      <c r="L1858" s="1704"/>
      <c r="M1858" s="1704"/>
    </row>
    <row r="1859" spans="5:13" ht="15">
      <c r="E1859" s="1645"/>
      <c r="F1859" s="1707"/>
      <c r="G1859" s="1707"/>
      <c r="H1859" s="1707"/>
      <c r="I1859" s="1707"/>
      <c r="J1859" s="1707"/>
      <c r="K1859" s="1707"/>
      <c r="L1859" s="1704"/>
      <c r="M1859" s="1704"/>
    </row>
    <row r="1860" spans="5:13" ht="15">
      <c r="E1860" s="1645"/>
      <c r="F1860" s="1707"/>
      <c r="G1860" s="1707"/>
      <c r="H1860" s="1707"/>
      <c r="I1860" s="1707"/>
      <c r="J1860" s="1707"/>
      <c r="K1860" s="1707"/>
      <c r="L1860" s="1704"/>
      <c r="M1860" s="1704"/>
    </row>
    <row r="1861" spans="5:13" ht="15">
      <c r="E1861" s="1645"/>
      <c r="F1861" s="1707"/>
      <c r="G1861" s="1707"/>
      <c r="H1861" s="1707"/>
      <c r="I1861" s="1707"/>
      <c r="J1861" s="1707"/>
      <c r="K1861" s="1707"/>
      <c r="L1861" s="1704"/>
      <c r="M1861" s="1704"/>
    </row>
    <row r="1862" spans="5:13" ht="15">
      <c r="E1862" s="1645"/>
      <c r="F1862" s="1707"/>
      <c r="G1862" s="1707"/>
      <c r="H1862" s="1707"/>
      <c r="I1862" s="1707"/>
      <c r="J1862" s="1707"/>
      <c r="K1862" s="1707"/>
      <c r="L1862" s="1704"/>
      <c r="M1862" s="1704"/>
    </row>
    <row r="1863" spans="5:13" ht="15">
      <c r="E1863" s="1645"/>
      <c r="F1863" s="1707"/>
      <c r="G1863" s="1707"/>
      <c r="H1863" s="1707"/>
      <c r="I1863" s="1707"/>
      <c r="J1863" s="1707"/>
      <c r="K1863" s="1707"/>
      <c r="L1863" s="1704"/>
      <c r="M1863" s="1704"/>
    </row>
    <row r="1864" spans="5:13" ht="15">
      <c r="E1864" s="1645"/>
      <c r="F1864" s="1707"/>
      <c r="G1864" s="1707"/>
      <c r="H1864" s="1707"/>
      <c r="I1864" s="1707"/>
      <c r="J1864" s="1707"/>
      <c r="K1864" s="1707"/>
      <c r="L1864" s="1704"/>
      <c r="M1864" s="1704"/>
    </row>
    <row r="1865" spans="5:13" ht="15">
      <c r="E1865" s="1645"/>
      <c r="F1865" s="1707"/>
      <c r="G1865" s="1707"/>
      <c r="H1865" s="1707"/>
      <c r="I1865" s="1707"/>
      <c r="J1865" s="1707"/>
      <c r="K1865" s="1707"/>
      <c r="L1865" s="1704"/>
      <c r="M1865" s="1704"/>
    </row>
    <row r="1866" spans="5:13" ht="15">
      <c r="E1866" s="1645"/>
      <c r="F1866" s="1707"/>
      <c r="G1866" s="1707"/>
      <c r="H1866" s="1707"/>
      <c r="I1866" s="1707"/>
      <c r="J1866" s="1707"/>
      <c r="K1866" s="1707"/>
      <c r="L1866" s="1704"/>
      <c r="M1866" s="1704"/>
    </row>
    <row r="1867" spans="5:13" ht="15">
      <c r="E1867" s="1645"/>
      <c r="F1867" s="1707"/>
      <c r="G1867" s="1707"/>
      <c r="H1867" s="1707"/>
      <c r="I1867" s="1707"/>
      <c r="J1867" s="1707"/>
      <c r="K1867" s="1707"/>
      <c r="L1867" s="1704"/>
      <c r="M1867" s="1704"/>
    </row>
    <row r="1868" spans="5:13" ht="15">
      <c r="E1868" s="1645"/>
      <c r="F1868" s="1707"/>
      <c r="G1868" s="1707"/>
      <c r="H1868" s="1707"/>
      <c r="I1868" s="1707"/>
      <c r="J1868" s="1707"/>
      <c r="K1868" s="1707"/>
      <c r="L1868" s="1704"/>
      <c r="M1868" s="1704"/>
    </row>
    <row r="1869" spans="5:13" ht="15">
      <c r="E1869" s="1645"/>
      <c r="F1869" s="1707"/>
      <c r="G1869" s="1707"/>
      <c r="H1869" s="1707"/>
      <c r="I1869" s="1707"/>
      <c r="J1869" s="1707"/>
      <c r="K1869" s="1707"/>
      <c r="L1869" s="1704"/>
      <c r="M1869" s="1704"/>
    </row>
    <row r="1870" spans="5:13" ht="15">
      <c r="E1870" s="1645"/>
      <c r="F1870" s="1707"/>
      <c r="G1870" s="1707"/>
      <c r="H1870" s="1707"/>
      <c r="I1870" s="1707"/>
      <c r="J1870" s="1707"/>
      <c r="K1870" s="1707"/>
      <c r="L1870" s="1704"/>
      <c r="M1870" s="1704"/>
    </row>
    <row r="1871" spans="5:13" ht="15">
      <c r="E1871" s="1645"/>
      <c r="F1871" s="1707"/>
      <c r="G1871" s="1707"/>
      <c r="H1871" s="1707"/>
      <c r="I1871" s="1707"/>
      <c r="J1871" s="1707"/>
      <c r="K1871" s="1707"/>
      <c r="L1871" s="1704"/>
      <c r="M1871" s="1704"/>
    </row>
    <row r="1872" spans="5:13" ht="15">
      <c r="E1872" s="1645"/>
      <c r="F1872" s="1707"/>
      <c r="G1872" s="1707"/>
      <c r="H1872" s="1707"/>
      <c r="I1872" s="1707"/>
      <c r="J1872" s="1707"/>
      <c r="K1872" s="1707"/>
      <c r="L1872" s="1704"/>
      <c r="M1872" s="1704"/>
    </row>
    <row r="1873" spans="5:13" ht="15">
      <c r="E1873" s="1645"/>
      <c r="F1873" s="1707"/>
      <c r="G1873" s="1707"/>
      <c r="H1873" s="1707"/>
      <c r="I1873" s="1707"/>
      <c r="J1873" s="1707"/>
      <c r="K1873" s="1707"/>
      <c r="L1873" s="1704"/>
      <c r="M1873" s="1704"/>
    </row>
    <row r="1874" spans="5:13" ht="15">
      <c r="E1874" s="1645"/>
      <c r="F1874" s="1707"/>
      <c r="G1874" s="1707"/>
      <c r="H1874" s="1707"/>
      <c r="I1874" s="1707"/>
      <c r="J1874" s="1707"/>
      <c r="K1874" s="1707"/>
      <c r="L1874" s="1704"/>
      <c r="M1874" s="1704"/>
    </row>
    <row r="1875" spans="5:13" ht="15">
      <c r="E1875" s="1645"/>
      <c r="F1875" s="1707"/>
      <c r="G1875" s="1707"/>
      <c r="H1875" s="1707"/>
      <c r="I1875" s="1707"/>
      <c r="J1875" s="1707"/>
      <c r="K1875" s="1707"/>
      <c r="L1875" s="1704"/>
      <c r="M1875" s="1704"/>
    </row>
    <row r="1876" spans="5:13" ht="15">
      <c r="E1876" s="1645"/>
      <c r="F1876" s="1707"/>
      <c r="G1876" s="1707"/>
      <c r="H1876" s="1707"/>
      <c r="I1876" s="1707"/>
      <c r="J1876" s="1707"/>
      <c r="K1876" s="1707"/>
      <c r="L1876" s="1704"/>
      <c r="M1876" s="1704"/>
    </row>
    <row r="1877" spans="5:13" ht="15">
      <c r="E1877" s="1645"/>
      <c r="F1877" s="1707"/>
      <c r="G1877" s="1707"/>
      <c r="H1877" s="1707"/>
      <c r="I1877" s="1707"/>
      <c r="J1877" s="1707"/>
      <c r="K1877" s="1707"/>
      <c r="L1877" s="1704"/>
      <c r="M1877" s="1704"/>
    </row>
    <row r="1878" spans="5:13" ht="15">
      <c r="E1878" s="1645"/>
      <c r="F1878" s="1707"/>
      <c r="G1878" s="1707"/>
      <c r="H1878" s="1707"/>
      <c r="I1878" s="1707"/>
      <c r="J1878" s="1707"/>
      <c r="K1878" s="1707"/>
      <c r="L1878" s="1704"/>
      <c r="M1878" s="1704"/>
    </row>
    <row r="1879" spans="5:13" ht="15">
      <c r="E1879" s="1645"/>
      <c r="F1879" s="1707"/>
      <c r="G1879" s="1707"/>
      <c r="H1879" s="1707"/>
      <c r="I1879" s="1707"/>
      <c r="J1879" s="1707"/>
      <c r="K1879" s="1707"/>
      <c r="L1879" s="1704"/>
      <c r="M1879" s="1704"/>
    </row>
    <row r="1880" spans="5:13" ht="15">
      <c r="E1880" s="1645"/>
      <c r="F1880" s="1707"/>
      <c r="G1880" s="1707"/>
      <c r="H1880" s="1707"/>
      <c r="I1880" s="1707"/>
      <c r="J1880" s="1707"/>
      <c r="K1880" s="1707"/>
      <c r="L1880" s="1704"/>
      <c r="M1880" s="1704"/>
    </row>
    <row r="1881" spans="5:13" ht="15">
      <c r="E1881" s="1645"/>
      <c r="F1881" s="1707"/>
      <c r="G1881" s="1707"/>
      <c r="H1881" s="1707"/>
      <c r="I1881" s="1707"/>
      <c r="J1881" s="1707"/>
      <c r="K1881" s="1707"/>
      <c r="L1881" s="1704"/>
      <c r="M1881" s="1704"/>
    </row>
    <row r="1882" spans="5:13" ht="15">
      <c r="E1882" s="1645"/>
      <c r="F1882" s="1707"/>
      <c r="G1882" s="1707"/>
      <c r="H1882" s="1707"/>
      <c r="I1882" s="1707"/>
      <c r="J1882" s="1707"/>
      <c r="K1882" s="1707"/>
      <c r="L1882" s="1704"/>
      <c r="M1882" s="1704"/>
    </row>
    <row r="1883" spans="5:13" ht="15">
      <c r="E1883" s="1645"/>
      <c r="F1883" s="1707"/>
      <c r="G1883" s="1707"/>
      <c r="H1883" s="1707"/>
      <c r="I1883" s="1707"/>
      <c r="J1883" s="1707"/>
      <c r="K1883" s="1707"/>
      <c r="L1883" s="1704"/>
      <c r="M1883" s="1704"/>
    </row>
    <row r="1884" spans="5:13" ht="15">
      <c r="E1884" s="1645"/>
      <c r="F1884" s="1707"/>
      <c r="G1884" s="1707"/>
      <c r="H1884" s="1707"/>
      <c r="I1884" s="1707"/>
      <c r="J1884" s="1707"/>
      <c r="K1884" s="1707"/>
      <c r="L1884" s="1704"/>
      <c r="M1884" s="1704"/>
    </row>
    <row r="1885" spans="5:13" ht="15">
      <c r="E1885" s="1645"/>
      <c r="F1885" s="1707"/>
      <c r="G1885" s="1707"/>
      <c r="H1885" s="1707"/>
      <c r="I1885" s="1707"/>
      <c r="J1885" s="1707"/>
      <c r="K1885" s="1707"/>
      <c r="L1885" s="1704"/>
      <c r="M1885" s="1704"/>
    </row>
    <row r="1886" spans="5:13" ht="15">
      <c r="E1886" s="1645"/>
      <c r="F1886" s="1707"/>
      <c r="G1886" s="1707"/>
      <c r="H1886" s="1707"/>
      <c r="I1886" s="1707"/>
      <c r="J1886" s="1707"/>
      <c r="K1886" s="1707"/>
      <c r="L1886" s="1704"/>
      <c r="M1886" s="1704"/>
    </row>
    <row r="1887" spans="5:13" ht="15">
      <c r="E1887" s="1645"/>
      <c r="F1887" s="1707"/>
      <c r="G1887" s="1707"/>
      <c r="H1887" s="1707"/>
      <c r="I1887" s="1707"/>
      <c r="J1887" s="1707"/>
      <c r="K1887" s="1707"/>
      <c r="L1887" s="1704"/>
      <c r="M1887" s="1704"/>
    </row>
    <row r="1888" spans="5:13" ht="15">
      <c r="E1888" s="1645"/>
      <c r="F1888" s="1707"/>
      <c r="G1888" s="1707"/>
      <c r="H1888" s="1707"/>
      <c r="I1888" s="1707"/>
      <c r="J1888" s="1707"/>
      <c r="K1888" s="1707"/>
      <c r="L1888" s="1704"/>
      <c r="M1888" s="1704"/>
    </row>
    <row r="1889" spans="5:13" ht="15">
      <c r="E1889" s="1645"/>
      <c r="F1889" s="1707"/>
      <c r="G1889" s="1707"/>
      <c r="H1889" s="1707"/>
      <c r="I1889" s="1707"/>
      <c r="J1889" s="1707"/>
      <c r="K1889" s="1707"/>
      <c r="L1889" s="1704"/>
      <c r="M1889" s="1704"/>
    </row>
    <row r="1890" spans="5:13" ht="15">
      <c r="E1890" s="1645"/>
      <c r="F1890" s="1707"/>
      <c r="G1890" s="1707"/>
      <c r="H1890" s="1707"/>
      <c r="I1890" s="1707"/>
      <c r="J1890" s="1707"/>
      <c r="K1890" s="1707"/>
      <c r="L1890" s="1704"/>
      <c r="M1890" s="1704"/>
    </row>
    <row r="1891" spans="5:13" ht="15">
      <c r="E1891" s="1645"/>
      <c r="F1891" s="1707"/>
      <c r="G1891" s="1707"/>
      <c r="H1891" s="1707"/>
      <c r="I1891" s="1707"/>
      <c r="J1891" s="1707"/>
      <c r="K1891" s="1707"/>
      <c r="L1891" s="1704"/>
      <c r="M1891" s="1704"/>
    </row>
    <row r="1892" spans="5:13" ht="15">
      <c r="E1892" s="1645"/>
      <c r="F1892" s="1707"/>
      <c r="G1892" s="1707"/>
      <c r="H1892" s="1707"/>
      <c r="I1892" s="1707"/>
      <c r="J1892" s="1707"/>
      <c r="K1892" s="1707"/>
      <c r="L1892" s="1704"/>
      <c r="M1892" s="1704"/>
    </row>
    <row r="1893" spans="5:13" ht="15">
      <c r="E1893" s="1645"/>
      <c r="F1893" s="1707"/>
      <c r="G1893" s="1707"/>
      <c r="H1893" s="1707"/>
      <c r="I1893" s="1707"/>
      <c r="J1893" s="1707"/>
      <c r="K1893" s="1707"/>
      <c r="L1893" s="1704"/>
      <c r="M1893" s="1704"/>
    </row>
    <row r="1894" spans="5:13" ht="15">
      <c r="E1894" s="1645"/>
      <c r="F1894" s="1707"/>
      <c r="G1894" s="1707"/>
      <c r="H1894" s="1707"/>
      <c r="I1894" s="1707"/>
      <c r="J1894" s="1707"/>
      <c r="K1894" s="1707"/>
      <c r="L1894" s="1704"/>
      <c r="M1894" s="1704"/>
    </row>
    <row r="1895" spans="5:13" ht="15">
      <c r="E1895" s="1645"/>
      <c r="F1895" s="1707"/>
      <c r="G1895" s="1707"/>
      <c r="H1895" s="1707"/>
      <c r="I1895" s="1707"/>
      <c r="J1895" s="1707"/>
      <c r="K1895" s="1707"/>
      <c r="L1895" s="1704"/>
      <c r="M1895" s="1704"/>
    </row>
    <row r="1896" spans="5:13" ht="15">
      <c r="E1896" s="1645"/>
      <c r="F1896" s="1707"/>
      <c r="G1896" s="1707"/>
      <c r="H1896" s="1707"/>
      <c r="I1896" s="1707"/>
      <c r="J1896" s="1707"/>
      <c r="K1896" s="1707"/>
      <c r="L1896" s="1704"/>
      <c r="M1896" s="1704"/>
    </row>
    <row r="1897" spans="5:13" ht="15">
      <c r="E1897" s="1645"/>
      <c r="F1897" s="1707"/>
      <c r="G1897" s="1707"/>
      <c r="H1897" s="1707"/>
      <c r="I1897" s="1707"/>
      <c r="J1897" s="1707"/>
      <c r="K1897" s="1707"/>
      <c r="L1897" s="1704"/>
      <c r="M1897" s="1704"/>
    </row>
    <row r="1898" spans="5:13" ht="15">
      <c r="E1898" s="1645"/>
      <c r="F1898" s="1707"/>
      <c r="G1898" s="1707"/>
      <c r="H1898" s="1707"/>
      <c r="I1898" s="1707"/>
      <c r="J1898" s="1707"/>
      <c r="K1898" s="1707"/>
      <c r="L1898" s="1704"/>
      <c r="M1898" s="1704"/>
    </row>
    <row r="1899" spans="5:13" ht="15">
      <c r="E1899" s="1645"/>
      <c r="F1899" s="1707"/>
      <c r="G1899" s="1707"/>
      <c r="H1899" s="1707"/>
      <c r="I1899" s="1707"/>
      <c r="J1899" s="1707"/>
      <c r="K1899" s="1707"/>
      <c r="L1899" s="1704"/>
      <c r="M1899" s="1704"/>
    </row>
    <row r="1900" spans="5:13" ht="15">
      <c r="E1900" s="1645"/>
      <c r="F1900" s="1707"/>
      <c r="G1900" s="1707"/>
      <c r="H1900" s="1707"/>
      <c r="I1900" s="1707"/>
      <c r="J1900" s="1707"/>
      <c r="K1900" s="1707"/>
      <c r="L1900" s="1704"/>
      <c r="M1900" s="1704"/>
    </row>
    <row r="1901" spans="5:13" ht="15">
      <c r="E1901" s="1645"/>
      <c r="F1901" s="1707"/>
      <c r="G1901" s="1707"/>
      <c r="H1901" s="1707"/>
      <c r="I1901" s="1707"/>
      <c r="J1901" s="1707"/>
      <c r="K1901" s="1707"/>
      <c r="L1901" s="1704"/>
      <c r="M1901" s="1704"/>
    </row>
    <row r="1902" spans="5:13" ht="15">
      <c r="E1902" s="1645"/>
      <c r="F1902" s="1707"/>
      <c r="G1902" s="1707"/>
      <c r="H1902" s="1707"/>
      <c r="I1902" s="1707"/>
      <c r="J1902" s="1707"/>
      <c r="K1902" s="1707"/>
      <c r="L1902" s="1704"/>
      <c r="M1902" s="1704"/>
    </row>
    <row r="1903" spans="5:13" ht="15">
      <c r="E1903" s="1645"/>
      <c r="F1903" s="1707"/>
      <c r="G1903" s="1707"/>
      <c r="H1903" s="1707"/>
      <c r="I1903" s="1707"/>
      <c r="J1903" s="1707"/>
      <c r="K1903" s="1707"/>
      <c r="L1903" s="1704"/>
      <c r="M1903" s="1704"/>
    </row>
    <row r="1904" spans="5:13" ht="15">
      <c r="E1904" s="1645"/>
      <c r="F1904" s="1707"/>
      <c r="G1904" s="1707"/>
      <c r="H1904" s="1707"/>
      <c r="I1904" s="1707"/>
      <c r="J1904" s="1707"/>
      <c r="K1904" s="1707"/>
      <c r="L1904" s="1704"/>
      <c r="M1904" s="1704"/>
    </row>
    <row r="1905" spans="5:13" ht="15">
      <c r="E1905" s="1645"/>
      <c r="F1905" s="1707"/>
      <c r="G1905" s="1707"/>
      <c r="H1905" s="1707"/>
      <c r="I1905" s="1707"/>
      <c r="J1905" s="1707"/>
      <c r="K1905" s="1707"/>
      <c r="L1905" s="1704"/>
      <c r="M1905" s="1704"/>
    </row>
    <row r="1906" spans="5:13" ht="15">
      <c r="E1906" s="1645"/>
      <c r="F1906" s="1707"/>
      <c r="G1906" s="1707"/>
      <c r="H1906" s="1707"/>
      <c r="I1906" s="1707"/>
      <c r="J1906" s="1707"/>
      <c r="K1906" s="1707"/>
      <c r="L1906" s="1704"/>
      <c r="M1906" s="1704"/>
    </row>
    <row r="1907" spans="5:13" ht="15">
      <c r="E1907" s="1645"/>
      <c r="F1907" s="1707"/>
      <c r="G1907" s="1707"/>
      <c r="H1907" s="1707"/>
      <c r="I1907" s="1707"/>
      <c r="J1907" s="1707"/>
      <c r="K1907" s="1707"/>
      <c r="L1907" s="1704"/>
      <c r="M1907" s="1704"/>
    </row>
    <row r="1908" spans="5:13" ht="15">
      <c r="E1908" s="1645"/>
      <c r="F1908" s="1707"/>
      <c r="G1908" s="1707"/>
      <c r="H1908" s="1707"/>
      <c r="I1908" s="1707"/>
      <c r="J1908" s="1707"/>
      <c r="K1908" s="1707"/>
      <c r="L1908" s="1704"/>
      <c r="M1908" s="1704"/>
    </row>
    <row r="1909" spans="5:13" ht="15">
      <c r="E1909" s="1645"/>
      <c r="F1909" s="1707"/>
      <c r="G1909" s="1707"/>
      <c r="H1909" s="1707"/>
      <c r="I1909" s="1707"/>
      <c r="J1909" s="1707"/>
      <c r="K1909" s="1707"/>
      <c r="L1909" s="1704"/>
      <c r="M1909" s="1704"/>
    </row>
    <row r="1910" spans="5:13" ht="15">
      <c r="E1910" s="1645"/>
      <c r="F1910" s="1707"/>
      <c r="G1910" s="1707"/>
      <c r="H1910" s="1707"/>
      <c r="I1910" s="1707"/>
      <c r="J1910" s="1707"/>
      <c r="K1910" s="1707"/>
      <c r="L1910" s="1704"/>
      <c r="M1910" s="1704"/>
    </row>
    <row r="1911" spans="5:13" ht="15">
      <c r="E1911" s="1645"/>
      <c r="F1911" s="1707"/>
      <c r="G1911" s="1707"/>
      <c r="H1911" s="1707"/>
      <c r="I1911" s="1707"/>
      <c r="J1911" s="1707"/>
      <c r="K1911" s="1707"/>
      <c r="L1911" s="1704"/>
      <c r="M1911" s="1704"/>
    </row>
    <row r="1912" spans="5:13" ht="15">
      <c r="E1912" s="1645"/>
      <c r="F1912" s="1707"/>
      <c r="G1912" s="1707"/>
      <c r="H1912" s="1707"/>
      <c r="I1912" s="1707"/>
      <c r="J1912" s="1707"/>
      <c r="K1912" s="1707"/>
      <c r="L1912" s="1704"/>
      <c r="M1912" s="1704"/>
    </row>
    <row r="1913" spans="5:13" ht="15">
      <c r="E1913" s="1645"/>
      <c r="F1913" s="1707"/>
      <c r="G1913" s="1707"/>
      <c r="H1913" s="1707"/>
      <c r="I1913" s="1707"/>
      <c r="J1913" s="1707"/>
      <c r="K1913" s="1707"/>
      <c r="L1913" s="1704"/>
      <c r="M1913" s="1704"/>
    </row>
    <row r="1914" spans="5:13" ht="15">
      <c r="E1914" s="1645"/>
      <c r="F1914" s="1707"/>
      <c r="G1914" s="1707"/>
      <c r="H1914" s="1707"/>
      <c r="I1914" s="1707"/>
      <c r="J1914" s="1707"/>
      <c r="K1914" s="1707"/>
      <c r="L1914" s="1704"/>
      <c r="M1914" s="1704"/>
    </row>
    <row r="1915" spans="5:13" ht="15">
      <c r="E1915" s="1645"/>
      <c r="F1915" s="1707"/>
      <c r="G1915" s="1707"/>
      <c r="H1915" s="1707"/>
      <c r="I1915" s="1707"/>
      <c r="J1915" s="1707"/>
      <c r="K1915" s="1707"/>
      <c r="L1915" s="1704"/>
      <c r="M1915" s="1704"/>
    </row>
    <row r="1916" spans="5:13" ht="15">
      <c r="E1916" s="1645"/>
      <c r="F1916" s="1707"/>
      <c r="G1916" s="1707"/>
      <c r="H1916" s="1707"/>
      <c r="I1916" s="1707"/>
      <c r="J1916" s="1707"/>
      <c r="K1916" s="1707"/>
      <c r="L1916" s="1704"/>
      <c r="M1916" s="1704"/>
    </row>
    <row r="1917" spans="5:13" ht="15">
      <c r="E1917" s="1645"/>
      <c r="F1917" s="1707"/>
      <c r="G1917" s="1707"/>
      <c r="H1917" s="1707"/>
      <c r="I1917" s="1707"/>
      <c r="J1917" s="1707"/>
      <c r="K1917" s="1707"/>
      <c r="L1917" s="1704"/>
      <c r="M1917" s="1704"/>
    </row>
    <row r="1918" spans="5:13" ht="15">
      <c r="E1918" s="1645"/>
      <c r="F1918" s="1707"/>
      <c r="G1918" s="1707"/>
      <c r="H1918" s="1707"/>
      <c r="I1918" s="1707"/>
      <c r="J1918" s="1707"/>
      <c r="K1918" s="1707"/>
      <c r="L1918" s="1704"/>
      <c r="M1918" s="1704"/>
    </row>
    <row r="1919" spans="5:13" ht="15">
      <c r="E1919" s="1645"/>
      <c r="F1919" s="1707"/>
      <c r="G1919" s="1707"/>
      <c r="H1919" s="1707"/>
      <c r="I1919" s="1707"/>
      <c r="J1919" s="1707"/>
      <c r="K1919" s="1707"/>
      <c r="L1919" s="1704"/>
      <c r="M1919" s="1704"/>
    </row>
    <row r="1920" spans="5:13" ht="15">
      <c r="E1920" s="1645"/>
      <c r="F1920" s="1707"/>
      <c r="G1920" s="1707"/>
      <c r="H1920" s="1707"/>
      <c r="I1920" s="1707"/>
      <c r="J1920" s="1707"/>
      <c r="K1920" s="1707"/>
      <c r="L1920" s="1704"/>
      <c r="M1920" s="1704"/>
    </row>
    <row r="1921" spans="5:13" ht="15">
      <c r="E1921" s="1645"/>
      <c r="F1921" s="1707"/>
      <c r="G1921" s="1707"/>
      <c r="H1921" s="1707"/>
      <c r="I1921" s="1707"/>
      <c r="J1921" s="1707"/>
      <c r="K1921" s="1707"/>
      <c r="L1921" s="1704"/>
      <c r="M1921" s="1704"/>
    </row>
    <row r="1922" spans="5:13" ht="15">
      <c r="E1922" s="1645"/>
      <c r="F1922" s="1707"/>
      <c r="G1922" s="1707"/>
      <c r="H1922" s="1707"/>
      <c r="I1922" s="1707"/>
      <c r="J1922" s="1707"/>
      <c r="K1922" s="1707"/>
      <c r="L1922" s="1704"/>
      <c r="M1922" s="1704"/>
    </row>
    <row r="1923" spans="5:13" ht="15">
      <c r="E1923" s="1645"/>
      <c r="F1923" s="1707"/>
      <c r="G1923" s="1707"/>
      <c r="H1923" s="1707"/>
      <c r="I1923" s="1707"/>
      <c r="J1923" s="1707"/>
      <c r="K1923" s="1707"/>
      <c r="L1923" s="1704"/>
      <c r="M1923" s="1704"/>
    </row>
    <row r="1924" spans="5:13" ht="15">
      <c r="E1924" s="1645"/>
      <c r="F1924" s="1707"/>
      <c r="G1924" s="1707"/>
      <c r="H1924" s="1707"/>
      <c r="I1924" s="1707"/>
      <c r="J1924" s="1707"/>
      <c r="K1924" s="1707"/>
      <c r="L1924" s="1704"/>
      <c r="M1924" s="1704"/>
    </row>
    <row r="1925" spans="5:13" ht="15">
      <c r="E1925" s="1645"/>
      <c r="F1925" s="1707"/>
      <c r="G1925" s="1707"/>
      <c r="H1925" s="1707"/>
      <c r="I1925" s="1707"/>
      <c r="J1925" s="1707"/>
      <c r="K1925" s="1707"/>
      <c r="L1925" s="1704"/>
      <c r="M1925" s="1704"/>
    </row>
    <row r="1926" spans="5:13" ht="15">
      <c r="E1926" s="1645"/>
      <c r="F1926" s="1707"/>
      <c r="G1926" s="1707"/>
      <c r="H1926" s="1707"/>
      <c r="I1926" s="1707"/>
      <c r="J1926" s="1707"/>
      <c r="K1926" s="1707"/>
      <c r="L1926" s="1704"/>
      <c r="M1926" s="1704"/>
    </row>
    <row r="1927" spans="5:13" ht="15">
      <c r="E1927" s="1645"/>
      <c r="F1927" s="1707"/>
      <c r="G1927" s="1707"/>
      <c r="H1927" s="1707"/>
      <c r="I1927" s="1707"/>
      <c r="J1927" s="1707"/>
      <c r="K1927" s="1707"/>
      <c r="L1927" s="1704"/>
      <c r="M1927" s="1704"/>
    </row>
    <row r="1928" spans="5:13" ht="15">
      <c r="E1928" s="1645"/>
      <c r="F1928" s="1707"/>
      <c r="G1928" s="1707"/>
      <c r="H1928" s="1707"/>
      <c r="I1928" s="1707"/>
      <c r="J1928" s="1707"/>
      <c r="K1928" s="1707"/>
      <c r="L1928" s="1704"/>
      <c r="M1928" s="1704"/>
    </row>
    <row r="1929" spans="5:13" ht="15">
      <c r="E1929" s="1645"/>
      <c r="F1929" s="1707"/>
      <c r="G1929" s="1707"/>
      <c r="H1929" s="1707"/>
      <c r="I1929" s="1707"/>
      <c r="J1929" s="1707"/>
      <c r="K1929" s="1707"/>
      <c r="L1929" s="1704"/>
      <c r="M1929" s="1704"/>
    </row>
    <row r="1930" spans="5:13" ht="15">
      <c r="E1930" s="1645"/>
      <c r="F1930" s="1707"/>
      <c r="G1930" s="1707"/>
      <c r="H1930" s="1707"/>
      <c r="I1930" s="1707"/>
      <c r="J1930" s="1707"/>
      <c r="K1930" s="1707"/>
      <c r="L1930" s="1704"/>
      <c r="M1930" s="1704"/>
    </row>
    <row r="1931" spans="5:13" ht="15">
      <c r="E1931" s="1645"/>
      <c r="F1931" s="1707"/>
      <c r="G1931" s="1707"/>
      <c r="H1931" s="1707"/>
      <c r="I1931" s="1707"/>
      <c r="J1931" s="1707"/>
      <c r="K1931" s="1707"/>
      <c r="L1931" s="1704"/>
      <c r="M1931" s="1704"/>
    </row>
    <row r="1932" spans="5:13" ht="15">
      <c r="E1932" s="1645"/>
      <c r="F1932" s="1707"/>
      <c r="G1932" s="1707"/>
      <c r="H1932" s="1707"/>
      <c r="I1932" s="1707"/>
      <c r="J1932" s="1707"/>
      <c r="K1932" s="1707"/>
      <c r="L1932" s="1704"/>
      <c r="M1932" s="1704"/>
    </row>
    <row r="1933" spans="5:13" ht="15">
      <c r="E1933" s="1645"/>
      <c r="F1933" s="1707"/>
      <c r="G1933" s="1707"/>
      <c r="H1933" s="1707"/>
      <c r="I1933" s="1707"/>
      <c r="J1933" s="1707"/>
      <c r="K1933" s="1707"/>
      <c r="L1933" s="1704"/>
      <c r="M1933" s="1704"/>
    </row>
    <row r="1934" spans="5:13" ht="15">
      <c r="E1934" s="1645"/>
      <c r="F1934" s="1707"/>
      <c r="G1934" s="1707"/>
      <c r="H1934" s="1707"/>
      <c r="I1934" s="1707"/>
      <c r="J1934" s="1707"/>
      <c r="K1934" s="1707"/>
      <c r="L1934" s="1704"/>
      <c r="M1934" s="1704"/>
    </row>
    <row r="1935" spans="5:13" ht="15">
      <c r="E1935" s="1645"/>
      <c r="F1935" s="1707"/>
      <c r="G1935" s="1707"/>
      <c r="H1935" s="1707"/>
      <c r="I1935" s="1707"/>
      <c r="J1935" s="1707"/>
      <c r="K1935" s="1707"/>
      <c r="L1935" s="1704"/>
      <c r="M1935" s="1704"/>
    </row>
    <row r="1936" spans="5:13" ht="15">
      <c r="E1936" s="1645"/>
      <c r="F1936" s="1707"/>
      <c r="G1936" s="1707"/>
      <c r="H1936" s="1707"/>
      <c r="I1936" s="1707"/>
      <c r="J1936" s="1707"/>
      <c r="K1936" s="1707"/>
      <c r="L1936" s="1704"/>
      <c r="M1936" s="1704"/>
    </row>
    <row r="1937" spans="5:13" ht="15">
      <c r="E1937" s="1645"/>
      <c r="F1937" s="1707"/>
      <c r="G1937" s="1707"/>
      <c r="H1937" s="1707"/>
      <c r="I1937" s="1707"/>
      <c r="J1937" s="1707"/>
      <c r="K1937" s="1707"/>
      <c r="L1937" s="1704"/>
      <c r="M1937" s="1704"/>
    </row>
    <row r="1938" spans="5:13" ht="15">
      <c r="E1938" s="1645"/>
      <c r="F1938" s="1707"/>
      <c r="G1938" s="1707"/>
      <c r="H1938" s="1707"/>
      <c r="I1938" s="1707"/>
      <c r="J1938" s="1707"/>
      <c r="K1938" s="1707"/>
      <c r="L1938" s="1704"/>
      <c r="M1938" s="1704"/>
    </row>
    <row r="1939" spans="5:13" ht="15">
      <c r="E1939" s="1645"/>
      <c r="F1939" s="1707"/>
      <c r="G1939" s="1707"/>
      <c r="H1939" s="1707"/>
      <c r="I1939" s="1707"/>
      <c r="J1939" s="1707"/>
      <c r="K1939" s="1707"/>
      <c r="L1939" s="1704"/>
      <c r="M1939" s="1704"/>
    </row>
    <row r="1940" spans="5:13" ht="15">
      <c r="E1940" s="1645"/>
      <c r="F1940" s="1707"/>
      <c r="G1940" s="1707"/>
      <c r="H1940" s="1707"/>
      <c r="I1940" s="1707"/>
      <c r="J1940" s="1707"/>
      <c r="K1940" s="1707"/>
      <c r="L1940" s="1704"/>
      <c r="M1940" s="1704"/>
    </row>
    <row r="1941" spans="5:13" ht="15">
      <c r="E1941" s="1645"/>
      <c r="F1941" s="1707"/>
      <c r="G1941" s="1707"/>
      <c r="H1941" s="1707"/>
      <c r="I1941" s="1707"/>
      <c r="J1941" s="1707"/>
      <c r="K1941" s="1707"/>
      <c r="L1941" s="1704"/>
      <c r="M1941" s="1704"/>
    </row>
    <row r="1942" spans="5:13" ht="15">
      <c r="E1942" s="1645"/>
      <c r="F1942" s="1707"/>
      <c r="G1942" s="1707"/>
      <c r="H1942" s="1707"/>
      <c r="I1942" s="1707"/>
      <c r="J1942" s="1707"/>
      <c r="K1942" s="1707"/>
      <c r="L1942" s="1704"/>
      <c r="M1942" s="1704"/>
    </row>
    <row r="1943" spans="5:13" ht="15">
      <c r="E1943" s="1645"/>
      <c r="F1943" s="1707"/>
      <c r="G1943" s="1707"/>
      <c r="H1943" s="1707"/>
      <c r="I1943" s="1707"/>
      <c r="J1943" s="1707"/>
      <c r="K1943" s="1707"/>
      <c r="L1943" s="1704"/>
      <c r="M1943" s="1704"/>
    </row>
    <row r="1944" spans="5:13" ht="15">
      <c r="E1944" s="1645"/>
      <c r="F1944" s="1707"/>
      <c r="G1944" s="1707"/>
      <c r="H1944" s="1707"/>
      <c r="I1944" s="1707"/>
      <c r="J1944" s="1707"/>
      <c r="K1944" s="1707"/>
      <c r="L1944" s="1704"/>
      <c r="M1944" s="1704"/>
    </row>
    <row r="1945" spans="5:13" ht="15">
      <c r="E1945" s="1645"/>
      <c r="F1945" s="1707"/>
      <c r="G1945" s="1707"/>
      <c r="H1945" s="1707"/>
      <c r="I1945" s="1707"/>
      <c r="J1945" s="1707"/>
      <c r="K1945" s="1707"/>
      <c r="L1945" s="1704"/>
      <c r="M1945" s="1704"/>
    </row>
    <row r="1946" spans="5:13" ht="15">
      <c r="E1946" s="1645"/>
      <c r="F1946" s="1707"/>
      <c r="G1946" s="1707"/>
      <c r="H1946" s="1707"/>
      <c r="I1946" s="1707"/>
      <c r="J1946" s="1707"/>
      <c r="K1946" s="1707"/>
      <c r="L1946" s="1704"/>
      <c r="M1946" s="1704"/>
    </row>
    <row r="1947" spans="5:13" ht="15">
      <c r="E1947" s="1645"/>
      <c r="F1947" s="1707"/>
      <c r="G1947" s="1707"/>
      <c r="H1947" s="1707"/>
      <c r="I1947" s="1707"/>
      <c r="J1947" s="1707"/>
      <c r="K1947" s="1707"/>
      <c r="L1947" s="1704"/>
      <c r="M1947" s="1704"/>
    </row>
    <row r="1948" spans="5:13" ht="15">
      <c r="E1948" s="1645"/>
      <c r="F1948" s="1707"/>
      <c r="G1948" s="1707"/>
      <c r="H1948" s="1707"/>
      <c r="I1948" s="1707"/>
      <c r="J1948" s="1707"/>
      <c r="K1948" s="1707"/>
      <c r="L1948" s="1704"/>
      <c r="M1948" s="1704"/>
    </row>
    <row r="1949" spans="5:13" ht="15">
      <c r="E1949" s="1645"/>
      <c r="F1949" s="1707"/>
      <c r="G1949" s="1707"/>
      <c r="H1949" s="1707"/>
      <c r="I1949" s="1707"/>
      <c r="J1949" s="1707"/>
      <c r="K1949" s="1707"/>
      <c r="L1949" s="1704"/>
      <c r="M1949" s="1704"/>
    </row>
    <row r="1950" spans="5:13" ht="15">
      <c r="E1950" s="1645"/>
      <c r="F1950" s="1707"/>
      <c r="G1950" s="1707"/>
      <c r="H1950" s="1707"/>
      <c r="I1950" s="1707"/>
      <c r="J1950" s="1707"/>
      <c r="K1950" s="1707"/>
      <c r="L1950" s="1704"/>
      <c r="M1950" s="1704"/>
    </row>
    <row r="1951" spans="5:13" ht="15">
      <c r="E1951" s="1645"/>
      <c r="F1951" s="1707"/>
      <c r="G1951" s="1707"/>
      <c r="H1951" s="1707"/>
      <c r="I1951" s="1707"/>
      <c r="J1951" s="1707"/>
      <c r="K1951" s="1707"/>
      <c r="L1951" s="1704"/>
      <c r="M1951" s="1704"/>
    </row>
    <row r="1952" spans="5:13" ht="15">
      <c r="E1952" s="1645"/>
      <c r="F1952" s="1707"/>
      <c r="G1952" s="1707"/>
      <c r="H1952" s="1707"/>
      <c r="I1952" s="1707"/>
      <c r="J1952" s="1707"/>
      <c r="K1952" s="1707"/>
      <c r="L1952" s="1704"/>
      <c r="M1952" s="1704"/>
    </row>
    <row r="1953" spans="5:13" ht="15">
      <c r="E1953" s="1645"/>
      <c r="F1953" s="1707"/>
      <c r="G1953" s="1707"/>
      <c r="H1953" s="1707"/>
      <c r="I1953" s="1707"/>
      <c r="J1953" s="1707"/>
      <c r="K1953" s="1707"/>
      <c r="L1953" s="1704"/>
      <c r="M1953" s="1704"/>
    </row>
    <row r="1954" spans="5:13" ht="15">
      <c r="E1954" s="1645"/>
      <c r="F1954" s="1707"/>
      <c r="G1954" s="1707"/>
      <c r="H1954" s="1707"/>
      <c r="I1954" s="1707"/>
      <c r="J1954" s="1707"/>
      <c r="K1954" s="1707"/>
      <c r="L1954" s="1704"/>
      <c r="M1954" s="1704"/>
    </row>
    <row r="1955" spans="5:13" ht="15">
      <c r="E1955" s="1645"/>
      <c r="F1955" s="1707"/>
      <c r="G1955" s="1707"/>
      <c r="H1955" s="1707"/>
      <c r="I1955" s="1707"/>
      <c r="J1955" s="1707"/>
      <c r="K1955" s="1707"/>
      <c r="L1955" s="1704"/>
      <c r="M1955" s="1704"/>
    </row>
    <row r="1956" spans="5:13" ht="15">
      <c r="E1956" s="1645"/>
      <c r="F1956" s="1707"/>
      <c r="G1956" s="1707"/>
      <c r="H1956" s="1707"/>
      <c r="I1956" s="1707"/>
      <c r="J1956" s="1707"/>
      <c r="K1956" s="1707"/>
      <c r="L1956" s="1704"/>
      <c r="M1956" s="1704"/>
    </row>
    <row r="1957" spans="5:13" ht="15">
      <c r="E1957" s="1645"/>
      <c r="F1957" s="1707"/>
      <c r="G1957" s="1707"/>
      <c r="H1957" s="1707"/>
      <c r="I1957" s="1707"/>
      <c r="J1957" s="1707"/>
      <c r="K1957" s="1707"/>
      <c r="L1957" s="1704"/>
      <c r="M1957" s="1704"/>
    </row>
    <row r="1958" spans="5:13" ht="15">
      <c r="E1958" s="1645"/>
      <c r="F1958" s="1707"/>
      <c r="G1958" s="1707"/>
      <c r="H1958" s="1707"/>
      <c r="I1958" s="1707"/>
      <c r="J1958" s="1707"/>
      <c r="K1958" s="1707"/>
      <c r="L1958" s="1704"/>
      <c r="M1958" s="1704"/>
    </row>
    <row r="1959" spans="5:13" ht="15">
      <c r="E1959" s="1645"/>
      <c r="F1959" s="1707"/>
      <c r="G1959" s="1707"/>
      <c r="H1959" s="1707"/>
      <c r="I1959" s="1707"/>
      <c r="J1959" s="1707"/>
      <c r="K1959" s="1707"/>
      <c r="L1959" s="1704"/>
      <c r="M1959" s="1704"/>
    </row>
    <row r="1960" spans="5:13" ht="15">
      <c r="E1960" s="1645"/>
      <c r="F1960" s="1707"/>
      <c r="G1960" s="1707"/>
      <c r="H1960" s="1707"/>
      <c r="I1960" s="1707"/>
      <c r="J1960" s="1707"/>
      <c r="K1960" s="1707"/>
      <c r="L1960" s="1704"/>
      <c r="M1960" s="1704"/>
    </row>
    <row r="1961" spans="5:13" ht="15">
      <c r="E1961" s="1645"/>
      <c r="F1961" s="1707"/>
      <c r="G1961" s="1707"/>
      <c r="H1961" s="1707"/>
      <c r="I1961" s="1707"/>
      <c r="J1961" s="1707"/>
      <c r="K1961" s="1707"/>
      <c r="L1961" s="1704"/>
      <c r="M1961" s="1704"/>
    </row>
    <row r="1962" spans="5:13" ht="15">
      <c r="E1962" s="1645"/>
      <c r="F1962" s="1707"/>
      <c r="G1962" s="1707"/>
      <c r="H1962" s="1707"/>
      <c r="I1962" s="1707"/>
      <c r="J1962" s="1707"/>
      <c r="K1962" s="1707"/>
      <c r="L1962" s="1704"/>
      <c r="M1962" s="1704"/>
    </row>
    <row r="1963" spans="5:13" ht="15">
      <c r="E1963" s="1645"/>
      <c r="F1963" s="1707"/>
      <c r="G1963" s="1707"/>
      <c r="H1963" s="1707"/>
      <c r="I1963" s="1707"/>
      <c r="J1963" s="1707"/>
      <c r="K1963" s="1707"/>
      <c r="L1963" s="1704"/>
      <c r="M1963" s="1704"/>
    </row>
    <row r="1964" spans="5:13" ht="15">
      <c r="E1964" s="1645"/>
      <c r="F1964" s="1707"/>
      <c r="G1964" s="1707"/>
      <c r="H1964" s="1707"/>
      <c r="I1964" s="1707"/>
      <c r="J1964" s="1707"/>
      <c r="K1964" s="1707"/>
      <c r="L1964" s="1704"/>
      <c r="M1964" s="1704"/>
    </row>
    <row r="1965" spans="5:13" ht="15">
      <c r="E1965" s="1645"/>
      <c r="F1965" s="1707"/>
      <c r="G1965" s="1707"/>
      <c r="H1965" s="1707"/>
      <c r="I1965" s="1707"/>
      <c r="J1965" s="1707"/>
      <c r="K1965" s="1707"/>
      <c r="L1965" s="1704"/>
      <c r="M1965" s="1704"/>
    </row>
    <row r="1966" spans="5:13" ht="15">
      <c r="E1966" s="1645"/>
      <c r="F1966" s="1707"/>
      <c r="G1966" s="1707"/>
      <c r="H1966" s="1707"/>
      <c r="I1966" s="1707"/>
      <c r="J1966" s="1707"/>
      <c r="K1966" s="1707"/>
      <c r="L1966" s="1704"/>
      <c r="M1966" s="1704"/>
    </row>
    <row r="1967" spans="5:13" ht="15">
      <c r="E1967" s="1645"/>
      <c r="F1967" s="1707"/>
      <c r="G1967" s="1707"/>
      <c r="H1967" s="1707"/>
      <c r="I1967" s="1707"/>
      <c r="J1967" s="1707"/>
      <c r="K1967" s="1707"/>
      <c r="L1967" s="1704"/>
      <c r="M1967" s="1704"/>
    </row>
    <row r="1968" spans="5:13" ht="15">
      <c r="E1968" s="1645"/>
      <c r="F1968" s="1707"/>
      <c r="G1968" s="1707"/>
      <c r="H1968" s="1707"/>
      <c r="I1968" s="1707"/>
      <c r="J1968" s="1707"/>
      <c r="K1968" s="1707"/>
      <c r="L1968" s="1704"/>
      <c r="M1968" s="1704"/>
    </row>
    <row r="1969" spans="5:13" ht="15">
      <c r="E1969" s="1645"/>
      <c r="F1969" s="1707"/>
      <c r="G1969" s="1707"/>
      <c r="H1969" s="1707"/>
      <c r="I1969" s="1707"/>
      <c r="J1969" s="1707"/>
      <c r="K1969" s="1707"/>
      <c r="L1969" s="1704"/>
      <c r="M1969" s="1704"/>
    </row>
    <row r="1970" spans="5:13" ht="15">
      <c r="E1970" s="1645"/>
      <c r="F1970" s="1707"/>
      <c r="G1970" s="1707"/>
      <c r="H1970" s="1707"/>
      <c r="I1970" s="1707"/>
      <c r="J1970" s="1707"/>
      <c r="K1970" s="1707"/>
      <c r="L1970" s="1704"/>
      <c r="M1970" s="1704"/>
    </row>
    <row r="1971" spans="5:13" ht="15">
      <c r="E1971" s="1645"/>
      <c r="F1971" s="1707"/>
      <c r="G1971" s="1707"/>
      <c r="H1971" s="1707"/>
      <c r="I1971" s="1707"/>
      <c r="J1971" s="1707"/>
      <c r="K1971" s="1707"/>
      <c r="L1971" s="1704"/>
      <c r="M1971" s="1704"/>
    </row>
    <row r="1972" spans="5:13" ht="15">
      <c r="E1972" s="1645"/>
      <c r="F1972" s="1707"/>
      <c r="G1972" s="1707"/>
      <c r="H1972" s="1707"/>
      <c r="I1972" s="1707"/>
      <c r="J1972" s="1707"/>
      <c r="K1972" s="1707"/>
      <c r="L1972" s="1704"/>
      <c r="M1972" s="1704"/>
    </row>
    <row r="1973" spans="5:13" ht="15">
      <c r="E1973" s="1645"/>
      <c r="F1973" s="1707"/>
      <c r="G1973" s="1707"/>
      <c r="H1973" s="1707"/>
      <c r="I1973" s="1707"/>
      <c r="J1973" s="1707"/>
      <c r="K1973" s="1707"/>
      <c r="L1973" s="1704"/>
      <c r="M1973" s="1704"/>
    </row>
    <row r="1974" spans="5:13" ht="15">
      <c r="E1974" s="1645"/>
      <c r="F1974" s="1707"/>
      <c r="G1974" s="1707"/>
      <c r="H1974" s="1707"/>
      <c r="I1974" s="1707"/>
      <c r="J1974" s="1707"/>
      <c r="K1974" s="1707"/>
      <c r="L1974" s="1704"/>
      <c r="M1974" s="1704"/>
    </row>
    <row r="1975" spans="5:13" ht="15">
      <c r="E1975" s="1645"/>
      <c r="F1975" s="1707"/>
      <c r="G1975" s="1707"/>
      <c r="H1975" s="1707"/>
      <c r="I1975" s="1707"/>
      <c r="J1975" s="1707"/>
      <c r="K1975" s="1707"/>
      <c r="L1975" s="1704"/>
      <c r="M1975" s="1704"/>
    </row>
    <row r="1976" spans="5:13" ht="15">
      <c r="E1976" s="1645"/>
      <c r="F1976" s="1707"/>
      <c r="G1976" s="1707"/>
      <c r="H1976" s="1707"/>
      <c r="I1976" s="1707"/>
      <c r="J1976" s="1707"/>
      <c r="K1976" s="1707"/>
      <c r="L1976" s="1704"/>
      <c r="M1976" s="1704"/>
    </row>
    <row r="1977" spans="5:13" ht="15">
      <c r="E1977" s="1645"/>
      <c r="F1977" s="1707"/>
      <c r="G1977" s="1707"/>
      <c r="H1977" s="1707"/>
      <c r="I1977" s="1707"/>
      <c r="J1977" s="1707"/>
      <c r="K1977" s="1707"/>
      <c r="L1977" s="1704"/>
      <c r="M1977" s="1704"/>
    </row>
    <row r="1978" spans="5:13" ht="15">
      <c r="E1978" s="1645"/>
      <c r="F1978" s="1707"/>
      <c r="G1978" s="1707"/>
      <c r="H1978" s="1707"/>
      <c r="I1978" s="1707"/>
      <c r="J1978" s="1707"/>
      <c r="K1978" s="1707"/>
      <c r="L1978" s="1704"/>
      <c r="M1978" s="1704"/>
    </row>
    <row r="1979" spans="5:13" ht="15">
      <c r="E1979" s="1645"/>
      <c r="F1979" s="1707"/>
      <c r="G1979" s="1707"/>
      <c r="H1979" s="1707"/>
      <c r="I1979" s="1707"/>
      <c r="J1979" s="1707"/>
      <c r="K1979" s="1707"/>
      <c r="L1979" s="1704"/>
      <c r="M1979" s="1704"/>
    </row>
    <row r="1980" spans="5:13" ht="15">
      <c r="E1980" s="1645"/>
      <c r="F1980" s="1707"/>
      <c r="G1980" s="1707"/>
      <c r="H1980" s="1707"/>
      <c r="I1980" s="1707"/>
      <c r="J1980" s="1707"/>
      <c r="K1980" s="1707"/>
      <c r="L1980" s="1704"/>
      <c r="M1980" s="1704"/>
    </row>
    <row r="1981" spans="5:13" ht="15">
      <c r="E1981" s="1645"/>
      <c r="F1981" s="1707"/>
      <c r="G1981" s="1707"/>
      <c r="H1981" s="1707"/>
      <c r="I1981" s="1707"/>
      <c r="J1981" s="1707"/>
      <c r="K1981" s="1707"/>
      <c r="L1981" s="1704"/>
      <c r="M1981" s="1704"/>
    </row>
    <row r="1982" spans="5:13" ht="15">
      <c r="E1982" s="1645"/>
      <c r="F1982" s="1707"/>
      <c r="G1982" s="1707"/>
      <c r="H1982" s="1707"/>
      <c r="I1982" s="1707"/>
      <c r="J1982" s="1707"/>
      <c r="K1982" s="1707"/>
      <c r="L1982" s="1704"/>
      <c r="M1982" s="1704"/>
    </row>
    <row r="1983" spans="5:13" ht="15">
      <c r="E1983" s="1645"/>
      <c r="F1983" s="1707"/>
      <c r="G1983" s="1707"/>
      <c r="H1983" s="1707"/>
      <c r="I1983" s="1707"/>
      <c r="J1983" s="1707"/>
      <c r="K1983" s="1707"/>
      <c r="L1983" s="1704"/>
      <c r="M1983" s="1704"/>
    </row>
    <row r="1984" spans="5:13" ht="15">
      <c r="E1984" s="1645"/>
      <c r="F1984" s="1707"/>
      <c r="G1984" s="1707"/>
      <c r="H1984" s="1707"/>
      <c r="I1984" s="1707"/>
      <c r="J1984" s="1707"/>
      <c r="K1984" s="1707"/>
      <c r="L1984" s="1704"/>
      <c r="M1984" s="1704"/>
    </row>
    <row r="1985" spans="5:13" ht="15">
      <c r="E1985" s="1645"/>
      <c r="F1985" s="1707"/>
      <c r="G1985" s="1707"/>
      <c r="H1985" s="1707"/>
      <c r="I1985" s="1707"/>
      <c r="J1985" s="1707"/>
      <c r="K1985" s="1707"/>
      <c r="L1985" s="1704"/>
      <c r="M1985" s="1704"/>
    </row>
    <row r="1986" spans="5:13" ht="15">
      <c r="E1986" s="1645"/>
      <c r="F1986" s="1707"/>
      <c r="G1986" s="1707"/>
      <c r="H1986" s="1707"/>
      <c r="I1986" s="1707"/>
      <c r="J1986" s="1707"/>
      <c r="K1986" s="1707"/>
      <c r="L1986" s="1704"/>
      <c r="M1986" s="1704"/>
    </row>
    <row r="1987" spans="5:13" ht="15">
      <c r="E1987" s="1645"/>
      <c r="F1987" s="1707"/>
      <c r="G1987" s="1707"/>
      <c r="H1987" s="1707"/>
      <c r="I1987" s="1707"/>
      <c r="J1987" s="1707"/>
      <c r="K1987" s="1707"/>
      <c r="L1987" s="1704"/>
      <c r="M1987" s="1704"/>
    </row>
    <row r="1988" spans="5:13" ht="15">
      <c r="E1988" s="1645"/>
      <c r="F1988" s="1707"/>
      <c r="G1988" s="1707"/>
      <c r="H1988" s="1707"/>
      <c r="I1988" s="1707"/>
      <c r="J1988" s="1707"/>
      <c r="K1988" s="1707"/>
      <c r="L1988" s="1704"/>
      <c r="M1988" s="1704"/>
    </row>
    <row r="1989" spans="5:13" ht="15">
      <c r="E1989" s="1645"/>
      <c r="F1989" s="1707"/>
      <c r="G1989" s="1707"/>
      <c r="H1989" s="1707"/>
      <c r="I1989" s="1707"/>
      <c r="J1989" s="1707"/>
      <c r="K1989" s="1707"/>
      <c r="L1989" s="1704"/>
      <c r="M1989" s="1704"/>
    </row>
    <row r="1990" spans="5:13" ht="15">
      <c r="E1990" s="1645"/>
      <c r="F1990" s="1707"/>
      <c r="G1990" s="1707"/>
      <c r="H1990" s="1707"/>
      <c r="I1990" s="1707"/>
      <c r="J1990" s="1707"/>
      <c r="K1990" s="1707"/>
      <c r="L1990" s="1704"/>
      <c r="M1990" s="1704"/>
    </row>
    <row r="1991" spans="5:13" ht="15">
      <c r="E1991" s="1645"/>
      <c r="F1991" s="1707"/>
      <c r="G1991" s="1707"/>
      <c r="H1991" s="1707"/>
      <c r="I1991" s="1707"/>
      <c r="J1991" s="1707"/>
      <c r="K1991" s="1707"/>
      <c r="L1991" s="1704"/>
      <c r="M1991" s="1704"/>
    </row>
    <row r="1992" spans="5:13" ht="15">
      <c r="E1992" s="1645"/>
      <c r="F1992" s="1707"/>
      <c r="G1992" s="1707"/>
      <c r="H1992" s="1707"/>
      <c r="I1992" s="1707"/>
      <c r="J1992" s="1707"/>
      <c r="K1992" s="1707"/>
      <c r="L1992" s="1704"/>
      <c r="M1992" s="1704"/>
    </row>
    <row r="1993" spans="5:13" ht="15">
      <c r="E1993" s="1645"/>
      <c r="F1993" s="1707"/>
      <c r="G1993" s="1707"/>
      <c r="H1993" s="1707"/>
      <c r="I1993" s="1707"/>
      <c r="J1993" s="1707"/>
      <c r="K1993" s="1707"/>
      <c r="L1993" s="1704"/>
      <c r="M1993" s="1704"/>
    </row>
    <row r="1994" spans="5:13" ht="15">
      <c r="E1994" s="1645"/>
      <c r="F1994" s="1707"/>
      <c r="G1994" s="1707"/>
      <c r="H1994" s="1707"/>
      <c r="I1994" s="1707"/>
      <c r="J1994" s="1707"/>
      <c r="K1994" s="1707"/>
      <c r="L1994" s="1704"/>
      <c r="M1994" s="1704"/>
    </row>
    <row r="1995" spans="5:13" ht="15">
      <c r="E1995" s="1645"/>
      <c r="F1995" s="1707"/>
      <c r="G1995" s="1707"/>
      <c r="H1995" s="1707"/>
      <c r="I1995" s="1707"/>
      <c r="J1995" s="1707"/>
      <c r="K1995" s="1707"/>
      <c r="L1995" s="1704"/>
      <c r="M1995" s="1704"/>
    </row>
    <row r="1996" spans="5:13" ht="15">
      <c r="E1996" s="1645"/>
      <c r="F1996" s="1707"/>
      <c r="G1996" s="1707"/>
      <c r="H1996" s="1707"/>
      <c r="I1996" s="1707"/>
      <c r="J1996" s="1707"/>
      <c r="K1996" s="1707"/>
      <c r="L1996" s="1704"/>
      <c r="M1996" s="1704"/>
    </row>
    <row r="1997" spans="5:13" ht="15">
      <c r="E1997" s="1645"/>
      <c r="F1997" s="1707"/>
      <c r="G1997" s="1707"/>
      <c r="H1997" s="1707"/>
      <c r="I1997" s="1707"/>
      <c r="J1997" s="1707"/>
      <c r="K1997" s="1707"/>
      <c r="L1997" s="1704"/>
      <c r="M1997" s="1704"/>
    </row>
    <row r="1998" spans="5:13" ht="15">
      <c r="E1998" s="1645"/>
      <c r="F1998" s="1707"/>
      <c r="G1998" s="1707"/>
      <c r="H1998" s="1707"/>
      <c r="I1998" s="1707"/>
      <c r="J1998" s="1707"/>
      <c r="K1998" s="1707"/>
      <c r="L1998" s="1704"/>
      <c r="M1998" s="1704"/>
    </row>
    <row r="1999" spans="5:13" ht="15">
      <c r="E1999" s="1645"/>
      <c r="F1999" s="1707"/>
      <c r="G1999" s="1707"/>
      <c r="H1999" s="1707"/>
      <c r="I1999" s="1707"/>
      <c r="J1999" s="1707"/>
      <c r="K1999" s="1707"/>
      <c r="L1999" s="1704"/>
      <c r="M1999" s="1704"/>
    </row>
    <row r="2000" spans="5:13" ht="15">
      <c r="E2000" s="1645"/>
      <c r="F2000" s="1707"/>
      <c r="G2000" s="1707"/>
      <c r="H2000" s="1707"/>
      <c r="I2000" s="1707"/>
      <c r="J2000" s="1707"/>
      <c r="K2000" s="1707"/>
      <c r="L2000" s="1704"/>
      <c r="M2000" s="1704"/>
    </row>
    <row r="2001" spans="5:13" ht="15">
      <c r="E2001" s="1645"/>
      <c r="F2001" s="1707"/>
      <c r="G2001" s="1707"/>
      <c r="H2001" s="1707"/>
      <c r="I2001" s="1707"/>
      <c r="J2001" s="1707"/>
      <c r="K2001" s="1707"/>
      <c r="L2001" s="1704"/>
      <c r="M2001" s="1704"/>
    </row>
    <row r="2002" spans="5:13" ht="15">
      <c r="E2002" s="1645"/>
      <c r="F2002" s="1707"/>
      <c r="G2002" s="1707"/>
      <c r="H2002" s="1707"/>
      <c r="I2002" s="1707"/>
      <c r="J2002" s="1707"/>
      <c r="K2002" s="1707"/>
      <c r="L2002" s="1704"/>
      <c r="M2002" s="1704"/>
    </row>
    <row r="2003" spans="5:13" ht="15">
      <c r="E2003" s="1645"/>
      <c r="F2003" s="1707"/>
      <c r="G2003" s="1707"/>
      <c r="H2003" s="1707"/>
      <c r="I2003" s="1707"/>
      <c r="J2003" s="1707"/>
      <c r="K2003" s="1707"/>
      <c r="L2003" s="1704"/>
      <c r="M2003" s="1704"/>
    </row>
    <row r="2004" spans="5:13" ht="15">
      <c r="E2004" s="1645"/>
      <c r="F2004" s="1707"/>
      <c r="G2004" s="1707"/>
      <c r="H2004" s="1707"/>
      <c r="I2004" s="1707"/>
      <c r="J2004" s="1707"/>
      <c r="K2004" s="1707"/>
      <c r="L2004" s="1704"/>
      <c r="M2004" s="1704"/>
    </row>
    <row r="2005" spans="5:13" ht="15">
      <c r="E2005" s="1645"/>
      <c r="F2005" s="1707"/>
      <c r="G2005" s="1707"/>
      <c r="H2005" s="1707"/>
      <c r="I2005" s="1707"/>
      <c r="J2005" s="1707"/>
      <c r="K2005" s="1707"/>
      <c r="L2005" s="1704"/>
      <c r="M2005" s="1704"/>
    </row>
    <row r="2006" spans="5:13" ht="15">
      <c r="E2006" s="1645"/>
      <c r="F2006" s="1707"/>
      <c r="G2006" s="1707"/>
      <c r="H2006" s="1707"/>
      <c r="I2006" s="1707"/>
      <c r="J2006" s="1707"/>
      <c r="K2006" s="1707"/>
      <c r="L2006" s="1704"/>
      <c r="M2006" s="1704"/>
    </row>
    <row r="2007" spans="5:13" ht="15">
      <c r="E2007" s="1645"/>
      <c r="F2007" s="1707"/>
      <c r="G2007" s="1707"/>
      <c r="H2007" s="1707"/>
      <c r="I2007" s="1707"/>
      <c r="J2007" s="1707"/>
      <c r="K2007" s="1707"/>
      <c r="L2007" s="1704"/>
      <c r="M2007" s="1704"/>
    </row>
    <row r="2008" spans="5:13" ht="15">
      <c r="E2008" s="1645"/>
      <c r="F2008" s="1707"/>
      <c r="G2008" s="1707"/>
      <c r="H2008" s="1707"/>
      <c r="I2008" s="1707"/>
      <c r="J2008" s="1707"/>
      <c r="K2008" s="1707"/>
      <c r="L2008" s="1704"/>
      <c r="M2008" s="1704"/>
    </row>
    <row r="2009" spans="5:13" ht="15">
      <c r="E2009" s="1645"/>
      <c r="F2009" s="1707"/>
      <c r="G2009" s="1707"/>
      <c r="H2009" s="1707"/>
      <c r="I2009" s="1707"/>
      <c r="J2009" s="1707"/>
      <c r="K2009" s="1707"/>
      <c r="L2009" s="1704"/>
      <c r="M2009" s="1704"/>
    </row>
    <row r="2010" spans="5:13" ht="15">
      <c r="E2010" s="1645"/>
      <c r="F2010" s="1707"/>
      <c r="G2010" s="1707"/>
      <c r="H2010" s="1707"/>
      <c r="I2010" s="1707"/>
      <c r="J2010" s="1707"/>
      <c r="K2010" s="1707"/>
      <c r="L2010" s="1704"/>
      <c r="M2010" s="1704"/>
    </row>
    <row r="2011" spans="5:13" ht="15">
      <c r="E2011" s="1645"/>
      <c r="F2011" s="1707"/>
      <c r="G2011" s="1707"/>
      <c r="H2011" s="1707"/>
      <c r="I2011" s="1707"/>
      <c r="J2011" s="1707"/>
      <c r="K2011" s="1707"/>
      <c r="L2011" s="1704"/>
      <c r="M2011" s="1704"/>
    </row>
    <row r="2012" spans="5:13" ht="15">
      <c r="E2012" s="1645"/>
      <c r="F2012" s="1707"/>
      <c r="G2012" s="1707"/>
      <c r="H2012" s="1707"/>
      <c r="I2012" s="1707"/>
      <c r="J2012" s="1707"/>
      <c r="K2012" s="1707"/>
      <c r="L2012" s="1704"/>
      <c r="M2012" s="1704"/>
    </row>
    <row r="2013" spans="5:13" ht="15">
      <c r="E2013" s="1645"/>
      <c r="F2013" s="1707"/>
      <c r="G2013" s="1707"/>
      <c r="H2013" s="1707"/>
      <c r="I2013" s="1707"/>
      <c r="J2013" s="1707"/>
      <c r="K2013" s="1707"/>
      <c r="L2013" s="1704"/>
      <c r="M2013" s="1704"/>
    </row>
    <row r="2014" spans="5:13" ht="15">
      <c r="E2014" s="1645"/>
      <c r="F2014" s="1707"/>
      <c r="G2014" s="1707"/>
      <c r="H2014" s="1707"/>
      <c r="I2014" s="1707"/>
      <c r="J2014" s="1707"/>
      <c r="K2014" s="1707"/>
      <c r="L2014" s="1704"/>
      <c r="M2014" s="1704"/>
    </row>
    <row r="2015" spans="5:13" ht="15">
      <c r="E2015" s="1645"/>
      <c r="F2015" s="1707"/>
      <c r="G2015" s="1707"/>
      <c r="H2015" s="1707"/>
      <c r="I2015" s="1707"/>
      <c r="J2015" s="1707"/>
      <c r="K2015" s="1707"/>
      <c r="L2015" s="1704"/>
      <c r="M2015" s="1704"/>
    </row>
    <row r="2016" spans="5:13" ht="15">
      <c r="E2016" s="1645"/>
      <c r="F2016" s="1707"/>
      <c r="G2016" s="1707"/>
      <c r="H2016" s="1707"/>
      <c r="I2016" s="1707"/>
      <c r="J2016" s="1707"/>
      <c r="K2016" s="1707"/>
      <c r="L2016" s="1704"/>
      <c r="M2016" s="1704"/>
    </row>
    <row r="2017" spans="5:13" ht="15">
      <c r="E2017" s="1645"/>
      <c r="F2017" s="1707"/>
      <c r="G2017" s="1707"/>
      <c r="H2017" s="1707"/>
      <c r="I2017" s="1707"/>
      <c r="J2017" s="1707"/>
      <c r="K2017" s="1707"/>
      <c r="L2017" s="1704"/>
      <c r="M2017" s="1704"/>
    </row>
    <row r="2018" spans="5:13" ht="15">
      <c r="E2018" s="1645"/>
      <c r="F2018" s="1707"/>
      <c r="G2018" s="1707"/>
      <c r="H2018" s="1707"/>
      <c r="I2018" s="1707"/>
      <c r="J2018" s="1707"/>
      <c r="K2018" s="1707"/>
      <c r="L2018" s="1704"/>
      <c r="M2018" s="1704"/>
    </row>
    <row r="2019" spans="5:13" ht="15">
      <c r="E2019" s="1645"/>
      <c r="F2019" s="1707"/>
      <c r="G2019" s="1707"/>
      <c r="H2019" s="1707"/>
      <c r="I2019" s="1707"/>
      <c r="J2019" s="1707"/>
      <c r="K2019" s="1707"/>
      <c r="L2019" s="1704"/>
      <c r="M2019" s="1704"/>
    </row>
    <row r="2020" spans="5:13" ht="15">
      <c r="E2020" s="1645"/>
      <c r="F2020" s="1707"/>
      <c r="G2020" s="1707"/>
      <c r="H2020" s="1707"/>
      <c r="I2020" s="1707"/>
      <c r="J2020" s="1707"/>
      <c r="K2020" s="1707"/>
      <c r="L2020" s="1704"/>
      <c r="M2020" s="1704"/>
    </row>
    <row r="2021" spans="5:13" ht="15">
      <c r="E2021" s="1645"/>
      <c r="F2021" s="1707"/>
      <c r="G2021" s="1707"/>
      <c r="H2021" s="1707"/>
      <c r="I2021" s="1707"/>
      <c r="J2021" s="1707"/>
      <c r="K2021" s="1707"/>
      <c r="L2021" s="1704"/>
      <c r="M2021" s="1704"/>
    </row>
    <row r="2022" spans="5:13" ht="15">
      <c r="E2022" s="1645"/>
      <c r="F2022" s="1707"/>
      <c r="G2022" s="1707"/>
      <c r="H2022" s="1707"/>
      <c r="I2022" s="1707"/>
      <c r="J2022" s="1707"/>
      <c r="K2022" s="1707"/>
      <c r="L2022" s="1704"/>
      <c r="M2022" s="1704"/>
    </row>
    <row r="2023" spans="5:13" ht="15">
      <c r="E2023" s="1645"/>
      <c r="F2023" s="1707"/>
      <c r="G2023" s="1707"/>
      <c r="H2023" s="1707"/>
      <c r="I2023" s="1707"/>
      <c r="J2023" s="1707"/>
      <c r="K2023" s="1707"/>
      <c r="L2023" s="1704"/>
      <c r="M2023" s="1704"/>
    </row>
    <row r="2024" spans="5:13" ht="15">
      <c r="E2024" s="1645"/>
      <c r="F2024" s="1707"/>
      <c r="G2024" s="1707"/>
      <c r="H2024" s="1707"/>
      <c r="I2024" s="1707"/>
      <c r="J2024" s="1707"/>
      <c r="K2024" s="1707"/>
      <c r="L2024" s="1704"/>
      <c r="M2024" s="1704"/>
    </row>
    <row r="2025" spans="5:13" ht="15">
      <c r="E2025" s="1645"/>
      <c r="F2025" s="1707"/>
      <c r="G2025" s="1707"/>
      <c r="H2025" s="1707"/>
      <c r="I2025" s="1707"/>
      <c r="J2025" s="1707"/>
      <c r="K2025" s="1707"/>
      <c r="L2025" s="1704"/>
      <c r="M2025" s="1704"/>
    </row>
    <row r="2026" spans="5:13" ht="15">
      <c r="E2026" s="1645"/>
      <c r="F2026" s="1707"/>
      <c r="G2026" s="1707"/>
      <c r="H2026" s="1707"/>
      <c r="I2026" s="1707"/>
      <c r="J2026" s="1707"/>
      <c r="K2026" s="1707"/>
      <c r="L2026" s="1704"/>
      <c r="M2026" s="1704"/>
    </row>
    <row r="2027" spans="5:13" ht="15">
      <c r="E2027" s="1645"/>
      <c r="F2027" s="1707"/>
      <c r="G2027" s="1707"/>
      <c r="H2027" s="1707"/>
      <c r="I2027" s="1707"/>
      <c r="J2027" s="1707"/>
      <c r="K2027" s="1707"/>
      <c r="L2027" s="1704"/>
      <c r="M2027" s="1704"/>
    </row>
    <row r="2028" spans="5:13" ht="15">
      <c r="E2028" s="1645"/>
      <c r="F2028" s="1707"/>
      <c r="G2028" s="1707"/>
      <c r="H2028" s="1707"/>
      <c r="I2028" s="1707"/>
      <c r="J2028" s="1707"/>
      <c r="K2028" s="1707"/>
      <c r="L2028" s="1704"/>
      <c r="M2028" s="1704"/>
    </row>
    <row r="2029" spans="5:13" ht="15">
      <c r="E2029" s="1645"/>
      <c r="F2029" s="1707"/>
      <c r="G2029" s="1707"/>
      <c r="H2029" s="1707"/>
      <c r="I2029" s="1707"/>
      <c r="J2029" s="1707"/>
      <c r="K2029" s="1707"/>
      <c r="L2029" s="1704"/>
      <c r="M2029" s="1704"/>
    </row>
    <row r="2030" spans="5:13" ht="15">
      <c r="E2030" s="1645"/>
      <c r="F2030" s="1707"/>
      <c r="G2030" s="1707"/>
      <c r="H2030" s="1707"/>
      <c r="I2030" s="1707"/>
      <c r="J2030" s="1707"/>
      <c r="K2030" s="1707"/>
      <c r="L2030" s="1704"/>
      <c r="M2030" s="1704"/>
    </row>
    <row r="2031" spans="5:13" ht="15">
      <c r="E2031" s="1645"/>
      <c r="F2031" s="1707"/>
      <c r="G2031" s="1707"/>
      <c r="H2031" s="1707"/>
      <c r="I2031" s="1707"/>
      <c r="J2031" s="1707"/>
      <c r="K2031" s="1707"/>
      <c r="L2031" s="1704"/>
      <c r="M2031" s="1704"/>
    </row>
    <row r="2032" spans="5:13" ht="15">
      <c r="E2032" s="1645"/>
      <c r="F2032" s="1707"/>
      <c r="G2032" s="1707"/>
      <c r="H2032" s="1707"/>
      <c r="I2032" s="1707"/>
      <c r="J2032" s="1707"/>
      <c r="K2032" s="1707"/>
      <c r="L2032" s="1704"/>
      <c r="M2032" s="1704"/>
    </row>
    <row r="2033" spans="5:13" ht="15">
      <c r="E2033" s="1645"/>
      <c r="F2033" s="1707"/>
      <c r="G2033" s="1707"/>
      <c r="H2033" s="1707"/>
      <c r="I2033" s="1707"/>
      <c r="J2033" s="1707"/>
      <c r="K2033" s="1707"/>
      <c r="L2033" s="1704"/>
      <c r="M2033" s="1704"/>
    </row>
    <row r="2034" spans="5:13" ht="15">
      <c r="E2034" s="1645"/>
      <c r="F2034" s="1707"/>
      <c r="G2034" s="1707"/>
      <c r="H2034" s="1707"/>
      <c r="I2034" s="1707"/>
      <c r="J2034" s="1707"/>
      <c r="K2034" s="1707"/>
      <c r="L2034" s="1704"/>
      <c r="M2034" s="1704"/>
    </row>
    <row r="2035" spans="5:13" ht="15">
      <c r="E2035" s="1645"/>
      <c r="F2035" s="1707"/>
      <c r="G2035" s="1707"/>
      <c r="H2035" s="1707"/>
      <c r="I2035" s="1707"/>
      <c r="J2035" s="1707"/>
      <c r="K2035" s="1707"/>
      <c r="L2035" s="1704"/>
      <c r="M2035" s="1704"/>
    </row>
    <row r="2036" spans="5:13" ht="15">
      <c r="E2036" s="1645"/>
      <c r="F2036" s="1707"/>
      <c r="G2036" s="1707"/>
      <c r="H2036" s="1707"/>
      <c r="I2036" s="1707"/>
      <c r="J2036" s="1707"/>
      <c r="K2036" s="1707"/>
      <c r="L2036" s="1704"/>
      <c r="M2036" s="1704"/>
    </row>
    <row r="2037" spans="5:13" ht="15">
      <c r="E2037" s="1645"/>
      <c r="F2037" s="1707"/>
      <c r="G2037" s="1707"/>
      <c r="H2037" s="1707"/>
      <c r="I2037" s="1707"/>
      <c r="J2037" s="1707"/>
      <c r="K2037" s="1707"/>
      <c r="L2037" s="1704"/>
      <c r="M2037" s="1704"/>
    </row>
    <row r="2038" spans="5:13" ht="15">
      <c r="E2038" s="1645"/>
      <c r="F2038" s="1707"/>
      <c r="G2038" s="1707"/>
      <c r="H2038" s="1707"/>
      <c r="I2038" s="1707"/>
      <c r="J2038" s="1707"/>
      <c r="K2038" s="1707"/>
      <c r="L2038" s="1704"/>
      <c r="M2038" s="1704"/>
    </row>
    <row r="2039" spans="5:13" ht="15">
      <c r="E2039" s="1645"/>
      <c r="F2039" s="1707"/>
      <c r="G2039" s="1707"/>
      <c r="H2039" s="1707"/>
      <c r="I2039" s="1707"/>
      <c r="J2039" s="1707"/>
      <c r="K2039" s="1707"/>
      <c r="L2039" s="1704"/>
      <c r="M2039" s="1704"/>
    </row>
    <row r="2040" spans="5:13" ht="15">
      <c r="E2040" s="1645"/>
      <c r="F2040" s="1707"/>
      <c r="G2040" s="1707"/>
      <c r="H2040" s="1707"/>
      <c r="I2040" s="1707"/>
      <c r="J2040" s="1707"/>
      <c r="K2040" s="1707"/>
      <c r="L2040" s="1704"/>
      <c r="M2040" s="1704"/>
    </row>
    <row r="2041" spans="5:13" ht="15">
      <c r="E2041" s="1645"/>
      <c r="F2041" s="1707"/>
      <c r="G2041" s="1707"/>
      <c r="H2041" s="1707"/>
      <c r="I2041" s="1707"/>
      <c r="J2041" s="1707"/>
      <c r="K2041" s="1707"/>
      <c r="L2041" s="1704"/>
      <c r="M2041" s="1704"/>
    </row>
    <row r="2042" spans="5:13" ht="15">
      <c r="E2042" s="1645"/>
      <c r="F2042" s="1707"/>
      <c r="G2042" s="1707"/>
      <c r="H2042" s="1707"/>
      <c r="I2042" s="1707"/>
      <c r="J2042" s="1707"/>
      <c r="K2042" s="1707"/>
      <c r="L2042" s="1704"/>
      <c r="M2042" s="1704"/>
    </row>
    <row r="2043" spans="5:13" ht="15">
      <c r="E2043" s="1645"/>
      <c r="F2043" s="1707"/>
      <c r="G2043" s="1707"/>
      <c r="H2043" s="1707"/>
      <c r="I2043" s="1707"/>
      <c r="J2043" s="1707"/>
      <c r="K2043" s="1707"/>
      <c r="L2043" s="1704"/>
      <c r="M2043" s="1704"/>
    </row>
    <row r="2044" spans="5:13" ht="15">
      <c r="E2044" s="1645"/>
      <c r="F2044" s="1707"/>
      <c r="G2044" s="1707"/>
      <c r="H2044" s="1707"/>
      <c r="I2044" s="1707"/>
      <c r="J2044" s="1707"/>
      <c r="K2044" s="1707"/>
      <c r="L2044" s="1704"/>
      <c r="M2044" s="1704"/>
    </row>
    <row r="2045" spans="5:13" ht="15">
      <c r="E2045" s="1645"/>
      <c r="F2045" s="1707"/>
      <c r="G2045" s="1707"/>
      <c r="H2045" s="1707"/>
      <c r="I2045" s="1707"/>
      <c r="J2045" s="1707"/>
      <c r="K2045" s="1707"/>
      <c r="L2045" s="1704"/>
      <c r="M2045" s="1704"/>
    </row>
    <row r="2046" spans="5:13" ht="15">
      <c r="E2046" s="1645"/>
      <c r="F2046" s="1707"/>
      <c r="G2046" s="1707"/>
      <c r="H2046" s="1707"/>
      <c r="I2046" s="1707"/>
      <c r="J2046" s="1707"/>
      <c r="K2046" s="1707"/>
      <c r="L2046" s="1704"/>
      <c r="M2046" s="1704"/>
    </row>
    <row r="2047" spans="5:13" ht="15">
      <c r="E2047" s="1645"/>
      <c r="F2047" s="1707"/>
      <c r="G2047" s="1707"/>
      <c r="H2047" s="1707"/>
      <c r="I2047" s="1707"/>
      <c r="J2047" s="1707"/>
      <c r="K2047" s="1707"/>
      <c r="L2047" s="1704"/>
      <c r="M2047" s="1704"/>
    </row>
    <row r="2048" spans="5:13" ht="15">
      <c r="E2048" s="1645"/>
      <c r="F2048" s="1707"/>
      <c r="G2048" s="1707"/>
      <c r="H2048" s="1707"/>
      <c r="I2048" s="1707"/>
      <c r="J2048" s="1707"/>
      <c r="K2048" s="1707"/>
      <c r="L2048" s="1704"/>
      <c r="M2048" s="1704"/>
    </row>
    <row r="2049" spans="5:13" ht="15">
      <c r="E2049" s="1645"/>
      <c r="F2049" s="1707"/>
      <c r="G2049" s="1707"/>
      <c r="H2049" s="1707"/>
      <c r="I2049" s="1707"/>
      <c r="J2049" s="1707"/>
      <c r="K2049" s="1707"/>
      <c r="L2049" s="1704"/>
      <c r="M2049" s="1704"/>
    </row>
    <row r="2050" spans="5:13" ht="15">
      <c r="E2050" s="1645"/>
      <c r="F2050" s="1707"/>
      <c r="G2050" s="1707"/>
      <c r="H2050" s="1707"/>
      <c r="I2050" s="1707"/>
      <c r="J2050" s="1707"/>
      <c r="K2050" s="1707"/>
      <c r="L2050" s="1704"/>
      <c r="M2050" s="1704"/>
    </row>
    <row r="2051" spans="5:13" ht="15">
      <c r="E2051" s="1645"/>
      <c r="F2051" s="1707"/>
      <c r="G2051" s="1707"/>
      <c r="H2051" s="1707"/>
      <c r="I2051" s="1707"/>
      <c r="J2051" s="1707"/>
      <c r="K2051" s="1707"/>
      <c r="L2051" s="1704"/>
      <c r="M2051" s="1704"/>
    </row>
    <row r="2052" spans="5:13" ht="15">
      <c r="E2052" s="1645"/>
      <c r="F2052" s="1707"/>
      <c r="G2052" s="1707"/>
      <c r="H2052" s="1707"/>
      <c r="I2052" s="1707"/>
      <c r="J2052" s="1707"/>
      <c r="K2052" s="1707"/>
      <c r="L2052" s="1704"/>
      <c r="M2052" s="1704"/>
    </row>
    <row r="2053" spans="5:13" ht="15">
      <c r="E2053" s="1645"/>
      <c r="F2053" s="1707"/>
      <c r="G2053" s="1707"/>
      <c r="H2053" s="1707"/>
      <c r="I2053" s="1707"/>
      <c r="J2053" s="1707"/>
      <c r="K2053" s="1707"/>
      <c r="L2053" s="1704"/>
      <c r="M2053" s="1704"/>
    </row>
    <row r="2054" spans="5:13" ht="15">
      <c r="E2054" s="1645"/>
      <c r="F2054" s="1707"/>
      <c r="G2054" s="1707"/>
      <c r="H2054" s="1707"/>
      <c r="I2054" s="1707"/>
      <c r="J2054" s="1707"/>
      <c r="K2054" s="1707"/>
      <c r="L2054" s="1704"/>
      <c r="M2054" s="1704"/>
    </row>
    <row r="2055" spans="5:13" ht="15">
      <c r="E2055" s="1645"/>
      <c r="F2055" s="1707"/>
      <c r="G2055" s="1707"/>
      <c r="H2055" s="1707"/>
      <c r="I2055" s="1707"/>
      <c r="J2055" s="1707"/>
      <c r="K2055" s="1707"/>
      <c r="L2055" s="1704"/>
      <c r="M2055" s="1704"/>
    </row>
    <row r="2056" spans="5:13" ht="15">
      <c r="E2056" s="1645"/>
      <c r="F2056" s="1707"/>
      <c r="G2056" s="1707"/>
      <c r="H2056" s="1707"/>
      <c r="I2056" s="1707"/>
      <c r="J2056" s="1707"/>
      <c r="K2056" s="1707"/>
      <c r="L2056" s="1704"/>
      <c r="M2056" s="1704"/>
    </row>
    <row r="2057" spans="5:13" ht="15">
      <c r="E2057" s="1645"/>
      <c r="F2057" s="1707"/>
      <c r="G2057" s="1707"/>
      <c r="H2057" s="1707"/>
      <c r="I2057" s="1707"/>
      <c r="J2057" s="1707"/>
      <c r="K2057" s="1707"/>
      <c r="L2057" s="1704"/>
      <c r="M2057" s="1704"/>
    </row>
    <row r="2058" spans="5:13" ht="15">
      <c r="E2058" s="1645"/>
      <c r="F2058" s="1707"/>
      <c r="G2058" s="1707"/>
      <c r="H2058" s="1707"/>
      <c r="I2058" s="1707"/>
      <c r="J2058" s="1707"/>
      <c r="K2058" s="1707"/>
      <c r="L2058" s="1704"/>
      <c r="M2058" s="1704"/>
    </row>
    <row r="2059" spans="5:13" ht="15">
      <c r="E2059" s="1645"/>
      <c r="F2059" s="1707"/>
      <c r="G2059" s="1707"/>
      <c r="H2059" s="1707"/>
      <c r="I2059" s="1707"/>
      <c r="J2059" s="1707"/>
      <c r="K2059" s="1707"/>
      <c r="L2059" s="1704"/>
      <c r="M2059" s="1704"/>
    </row>
    <row r="2060" spans="5:13" ht="15">
      <c r="E2060" s="1645"/>
      <c r="F2060" s="1707"/>
      <c r="G2060" s="1707"/>
      <c r="H2060" s="1707"/>
      <c r="I2060" s="1707"/>
      <c r="J2060" s="1707"/>
      <c r="K2060" s="1707"/>
      <c r="L2060" s="1704"/>
      <c r="M2060" s="1704"/>
    </row>
    <row r="2061" spans="5:13" ht="15">
      <c r="E2061" s="1645"/>
      <c r="F2061" s="1707"/>
      <c r="G2061" s="1707"/>
      <c r="H2061" s="1707"/>
      <c r="I2061" s="1707"/>
      <c r="J2061" s="1707"/>
      <c r="K2061" s="1707"/>
      <c r="L2061" s="1704"/>
      <c r="M2061" s="1704"/>
    </row>
    <row r="2062" spans="5:13" ht="15">
      <c r="E2062" s="1645"/>
      <c r="F2062" s="1707"/>
      <c r="G2062" s="1707"/>
      <c r="H2062" s="1707"/>
      <c r="I2062" s="1707"/>
      <c r="J2062" s="1707"/>
      <c r="K2062" s="1707"/>
      <c r="L2062" s="1704"/>
      <c r="M2062" s="1704"/>
    </row>
    <row r="2063" spans="5:13" ht="15">
      <c r="E2063" s="1645"/>
      <c r="F2063" s="1707"/>
      <c r="G2063" s="1707"/>
      <c r="H2063" s="1707"/>
      <c r="I2063" s="1707"/>
      <c r="J2063" s="1707"/>
      <c r="K2063" s="1707"/>
      <c r="L2063" s="1704"/>
      <c r="M2063" s="1704"/>
    </row>
    <row r="2064" spans="5:13" ht="15">
      <c r="E2064" s="1645"/>
      <c r="F2064" s="1707"/>
      <c r="G2064" s="1707"/>
      <c r="H2064" s="1707"/>
      <c r="I2064" s="1707"/>
      <c r="J2064" s="1707"/>
      <c r="K2064" s="1707"/>
      <c r="L2064" s="1704"/>
      <c r="M2064" s="1704"/>
    </row>
    <row r="2065" spans="5:13" ht="15">
      <c r="E2065" s="1645"/>
      <c r="F2065" s="1707"/>
      <c r="G2065" s="1707"/>
      <c r="H2065" s="1707"/>
      <c r="I2065" s="1707"/>
      <c r="J2065" s="1707"/>
      <c r="K2065" s="1707"/>
      <c r="L2065" s="1704"/>
      <c r="M2065" s="1704"/>
    </row>
    <row r="2066" spans="5:13" ht="15">
      <c r="E2066" s="1645"/>
      <c r="F2066" s="1707"/>
      <c r="G2066" s="1707"/>
      <c r="H2066" s="1707"/>
      <c r="I2066" s="1707"/>
      <c r="J2066" s="1707"/>
      <c r="K2066" s="1707"/>
      <c r="L2066" s="1704"/>
      <c r="M2066" s="1704"/>
    </row>
    <row r="2067" spans="5:13" ht="15">
      <c r="E2067" s="1645"/>
      <c r="F2067" s="1707"/>
      <c r="G2067" s="1707"/>
      <c r="H2067" s="1707"/>
      <c r="I2067" s="1707"/>
      <c r="J2067" s="1707"/>
      <c r="K2067" s="1707"/>
      <c r="L2067" s="1704"/>
      <c r="M2067" s="1704"/>
    </row>
    <row r="2068" spans="5:13" ht="15">
      <c r="E2068" s="1645"/>
      <c r="F2068" s="1707"/>
      <c r="G2068" s="1707"/>
      <c r="H2068" s="1707"/>
      <c r="I2068" s="1707"/>
      <c r="J2068" s="1707"/>
      <c r="K2068" s="1707"/>
      <c r="L2068" s="1704"/>
      <c r="M2068" s="1704"/>
    </row>
    <row r="2069" spans="5:13" ht="15">
      <c r="E2069" s="1645"/>
      <c r="F2069" s="1707"/>
      <c r="G2069" s="1707"/>
      <c r="H2069" s="1707"/>
      <c r="I2069" s="1707"/>
      <c r="J2069" s="1707"/>
      <c r="K2069" s="1707"/>
      <c r="L2069" s="1704"/>
      <c r="M2069" s="1704"/>
    </row>
    <row r="2070" spans="5:13" ht="15">
      <c r="E2070" s="1645"/>
      <c r="F2070" s="1707"/>
      <c r="G2070" s="1707"/>
      <c r="H2070" s="1707"/>
      <c r="I2070" s="1707"/>
      <c r="J2070" s="1707"/>
      <c r="K2070" s="1707"/>
      <c r="L2070" s="1704"/>
      <c r="M2070" s="1704"/>
    </row>
    <row r="2071" spans="5:13" ht="15">
      <c r="E2071" s="1645"/>
      <c r="F2071" s="1707"/>
      <c r="G2071" s="1707"/>
      <c r="H2071" s="1707"/>
      <c r="I2071" s="1707"/>
      <c r="J2071" s="1707"/>
      <c r="K2071" s="1707"/>
      <c r="L2071" s="1704"/>
      <c r="M2071" s="1704"/>
    </row>
    <row r="2072" spans="5:13" ht="15">
      <c r="E2072" s="1645"/>
      <c r="F2072" s="1707"/>
      <c r="G2072" s="1707"/>
      <c r="H2072" s="1707"/>
      <c r="I2072" s="1707"/>
      <c r="J2072" s="1707"/>
      <c r="K2072" s="1707"/>
      <c r="L2072" s="1704"/>
      <c r="M2072" s="1704"/>
    </row>
    <row r="2073" spans="5:13" ht="15">
      <c r="E2073" s="1645"/>
      <c r="F2073" s="1707"/>
      <c r="G2073" s="1707"/>
      <c r="H2073" s="1707"/>
      <c r="I2073" s="1707"/>
      <c r="J2073" s="1707"/>
      <c r="K2073" s="1707"/>
      <c r="L2073" s="1704"/>
      <c r="M2073" s="1704"/>
    </row>
    <row r="2074" spans="5:13" ht="15">
      <c r="E2074" s="1645"/>
      <c r="F2074" s="1707"/>
      <c r="G2074" s="1707"/>
      <c r="H2074" s="1707"/>
      <c r="I2074" s="1707"/>
      <c r="J2074" s="1707"/>
      <c r="K2074" s="1707"/>
      <c r="L2074" s="1704"/>
      <c r="M2074" s="1704"/>
    </row>
    <row r="2075" spans="5:13" ht="15">
      <c r="E2075" s="1645"/>
      <c r="F2075" s="1707"/>
      <c r="G2075" s="1707"/>
      <c r="H2075" s="1707"/>
      <c r="I2075" s="1707"/>
      <c r="J2075" s="1707"/>
      <c r="K2075" s="1707"/>
      <c r="L2075" s="1704"/>
      <c r="M2075" s="1704"/>
    </row>
    <row r="2076" spans="5:13" ht="15">
      <c r="E2076" s="1645"/>
      <c r="F2076" s="1707"/>
      <c r="G2076" s="1707"/>
      <c r="H2076" s="1707"/>
      <c r="I2076" s="1707"/>
      <c r="J2076" s="1707"/>
      <c r="K2076" s="1707"/>
      <c r="L2076" s="1704"/>
      <c r="M2076" s="1704"/>
    </row>
    <row r="2077" spans="5:13" ht="15">
      <c r="E2077" s="1645"/>
      <c r="F2077" s="1707"/>
      <c r="G2077" s="1707"/>
      <c r="H2077" s="1707"/>
      <c r="I2077" s="1707"/>
      <c r="J2077" s="1707"/>
      <c r="K2077" s="1707"/>
      <c r="L2077" s="1704"/>
      <c r="M2077" s="1704"/>
    </row>
    <row r="2078" spans="5:13" ht="15">
      <c r="E2078" s="1645"/>
      <c r="F2078" s="1707"/>
      <c r="G2078" s="1707"/>
      <c r="H2078" s="1707"/>
      <c r="I2078" s="1707"/>
      <c r="J2078" s="1707"/>
      <c r="K2078" s="1707"/>
      <c r="L2078" s="1704"/>
      <c r="M2078" s="1704"/>
    </row>
    <row r="2079" spans="5:13" ht="15">
      <c r="E2079" s="1645"/>
      <c r="F2079" s="1707"/>
      <c r="G2079" s="1707"/>
      <c r="H2079" s="1707"/>
      <c r="I2079" s="1707"/>
      <c r="J2079" s="1707"/>
      <c r="K2079" s="1707"/>
      <c r="L2079" s="1704"/>
      <c r="M2079" s="1704"/>
    </row>
    <row r="2080" spans="5:13" ht="15">
      <c r="E2080" s="1645"/>
      <c r="F2080" s="1707"/>
      <c r="G2080" s="1707"/>
      <c r="H2080" s="1707"/>
      <c r="I2080" s="1707"/>
      <c r="J2080" s="1707"/>
      <c r="K2080" s="1707"/>
      <c r="L2080" s="1704"/>
      <c r="M2080" s="1704"/>
    </row>
    <row r="2081" spans="5:13" ht="15">
      <c r="E2081" s="1645"/>
      <c r="F2081" s="1707"/>
      <c r="G2081" s="1707"/>
      <c r="H2081" s="1707"/>
      <c r="I2081" s="1707"/>
      <c r="J2081" s="1707"/>
      <c r="K2081" s="1707"/>
      <c r="L2081" s="1704"/>
      <c r="M2081" s="1704"/>
    </row>
    <row r="2082" spans="5:13" ht="15">
      <c r="E2082" s="1645"/>
      <c r="F2082" s="1707"/>
      <c r="G2082" s="1707"/>
      <c r="H2082" s="1707"/>
      <c r="I2082" s="1707"/>
      <c r="J2082" s="1707"/>
      <c r="K2082" s="1707"/>
      <c r="L2082" s="1704"/>
      <c r="M2082" s="1704"/>
    </row>
    <row r="2083" spans="5:13" ht="15">
      <c r="E2083" s="1645"/>
      <c r="F2083" s="1707"/>
      <c r="G2083" s="1707"/>
      <c r="H2083" s="1707"/>
      <c r="I2083" s="1707"/>
      <c r="J2083" s="1707"/>
      <c r="K2083" s="1707"/>
      <c r="L2083" s="1704"/>
      <c r="M2083" s="1704"/>
    </row>
    <row r="2084" spans="5:13" ht="15">
      <c r="E2084" s="1645"/>
      <c r="F2084" s="1707"/>
      <c r="G2084" s="1707"/>
      <c r="H2084" s="1707"/>
      <c r="I2084" s="1707"/>
      <c r="J2084" s="1707"/>
      <c r="K2084" s="1707"/>
      <c r="L2084" s="1704"/>
      <c r="M2084" s="1704"/>
    </row>
    <row r="2085" spans="5:13" ht="15">
      <c r="E2085" s="1645"/>
      <c r="F2085" s="1707"/>
      <c r="G2085" s="1707"/>
      <c r="H2085" s="1707"/>
      <c r="I2085" s="1707"/>
      <c r="J2085" s="1707"/>
      <c r="K2085" s="1707"/>
      <c r="L2085" s="1704"/>
      <c r="M2085" s="1704"/>
    </row>
    <row r="2086" spans="5:13" ht="15">
      <c r="E2086" s="1645"/>
      <c r="F2086" s="1707"/>
      <c r="G2086" s="1707"/>
      <c r="H2086" s="1707"/>
      <c r="I2086" s="1707"/>
      <c r="J2086" s="1707"/>
      <c r="K2086" s="1707"/>
      <c r="L2086" s="1704"/>
      <c r="M2086" s="1704"/>
    </row>
    <row r="2087" spans="5:13" ht="15">
      <c r="E2087" s="1645"/>
      <c r="F2087" s="1707"/>
      <c r="G2087" s="1707"/>
      <c r="H2087" s="1707"/>
      <c r="I2087" s="1707"/>
      <c r="J2087" s="1707"/>
      <c r="K2087" s="1707"/>
      <c r="L2087" s="1704"/>
      <c r="M2087" s="1704"/>
    </row>
    <row r="2088" spans="5:13" ht="15">
      <c r="E2088" s="1645"/>
      <c r="F2088" s="1707"/>
      <c r="G2088" s="1707"/>
      <c r="H2088" s="1707"/>
      <c r="I2088" s="1707"/>
      <c r="J2088" s="1707"/>
      <c r="K2088" s="1707"/>
      <c r="L2088" s="1704"/>
      <c r="M2088" s="1704"/>
    </row>
    <row r="2089" spans="5:13" ht="15">
      <c r="E2089" s="1645"/>
      <c r="F2089" s="1707"/>
      <c r="G2089" s="1707"/>
      <c r="H2089" s="1707"/>
      <c r="I2089" s="1707"/>
      <c r="J2089" s="1707"/>
      <c r="K2089" s="1707"/>
      <c r="L2089" s="1704"/>
      <c r="M2089" s="1704"/>
    </row>
    <row r="2090" spans="5:13" ht="15">
      <c r="E2090" s="1645"/>
      <c r="F2090" s="1707"/>
      <c r="G2090" s="1707"/>
      <c r="H2090" s="1707"/>
      <c r="I2090" s="1707"/>
      <c r="J2090" s="1707"/>
      <c r="K2090" s="1707"/>
      <c r="L2090" s="1704"/>
      <c r="M2090" s="1704"/>
    </row>
    <row r="2091" spans="5:13" ht="15">
      <c r="E2091" s="1645"/>
      <c r="F2091" s="1707"/>
      <c r="G2091" s="1707"/>
      <c r="H2091" s="1707"/>
      <c r="I2091" s="1707"/>
      <c r="J2091" s="1707"/>
      <c r="K2091" s="1707"/>
      <c r="L2091" s="1704"/>
      <c r="M2091" s="1704"/>
    </row>
    <row r="2092" spans="5:13" ht="15">
      <c r="E2092" s="1645"/>
      <c r="F2092" s="1707"/>
      <c r="G2092" s="1707"/>
      <c r="H2092" s="1707"/>
      <c r="I2092" s="1707"/>
      <c r="J2092" s="1707"/>
      <c r="K2092" s="1707"/>
      <c r="L2092" s="1704"/>
      <c r="M2092" s="1704"/>
    </row>
    <row r="2093" spans="5:13" ht="15">
      <c r="E2093" s="1645"/>
      <c r="F2093" s="1707"/>
      <c r="G2093" s="1707"/>
      <c r="H2093" s="1707"/>
      <c r="I2093" s="1707"/>
      <c r="J2093" s="1707"/>
      <c r="K2093" s="1707"/>
      <c r="L2093" s="1704"/>
      <c r="M2093" s="1704"/>
    </row>
    <row r="2094" spans="5:13" ht="15">
      <c r="E2094" s="1645"/>
      <c r="F2094" s="1707"/>
      <c r="G2094" s="1707"/>
      <c r="H2094" s="1707"/>
      <c r="I2094" s="1707"/>
      <c r="J2094" s="1707"/>
      <c r="K2094" s="1707"/>
      <c r="L2094" s="1704"/>
      <c r="M2094" s="1704"/>
    </row>
    <row r="2095" spans="5:13" ht="15">
      <c r="E2095" s="1645"/>
      <c r="F2095" s="1707"/>
      <c r="G2095" s="1707"/>
      <c r="H2095" s="1707"/>
      <c r="I2095" s="1707"/>
      <c r="J2095" s="1707"/>
      <c r="K2095" s="1707"/>
      <c r="L2095" s="1704"/>
      <c r="M2095" s="1704"/>
    </row>
    <row r="2096" spans="5:13" ht="15">
      <c r="E2096" s="1645"/>
      <c r="F2096" s="1707"/>
      <c r="G2096" s="1707"/>
      <c r="H2096" s="1707"/>
      <c r="I2096" s="1707"/>
      <c r="J2096" s="1707"/>
      <c r="K2096" s="1707"/>
      <c r="L2096" s="1704"/>
      <c r="M2096" s="1704"/>
    </row>
    <row r="2097" spans="5:13" ht="15">
      <c r="E2097" s="1645"/>
      <c r="F2097" s="1707"/>
      <c r="G2097" s="1707"/>
      <c r="H2097" s="1707"/>
      <c r="I2097" s="1707"/>
      <c r="J2097" s="1707"/>
      <c r="K2097" s="1707"/>
      <c r="L2097" s="1704"/>
      <c r="M2097" s="1704"/>
    </row>
    <row r="2098" spans="5:13" ht="15">
      <c r="E2098" s="1645"/>
      <c r="F2098" s="1707"/>
      <c r="G2098" s="1707"/>
      <c r="H2098" s="1707"/>
      <c r="I2098" s="1707"/>
      <c r="J2098" s="1707"/>
      <c r="K2098" s="1707"/>
      <c r="L2098" s="1704"/>
      <c r="M2098" s="1704"/>
    </row>
    <row r="2099" spans="5:13" ht="15">
      <c r="E2099" s="1645"/>
      <c r="F2099" s="1707"/>
      <c r="G2099" s="1707"/>
      <c r="H2099" s="1707"/>
      <c r="I2099" s="1707"/>
      <c r="J2099" s="1707"/>
      <c r="K2099" s="1707"/>
      <c r="L2099" s="1704"/>
      <c r="M2099" s="1704"/>
    </row>
    <row r="2100" spans="5:13" ht="15">
      <c r="E2100" s="1645"/>
      <c r="F2100" s="1707"/>
      <c r="G2100" s="1707"/>
      <c r="H2100" s="1707"/>
      <c r="I2100" s="1707"/>
      <c r="J2100" s="1707"/>
      <c r="K2100" s="1707"/>
      <c r="L2100" s="1704"/>
      <c r="M2100" s="1704"/>
    </row>
    <row r="2101" spans="5:13" ht="15">
      <c r="E2101" s="1645"/>
      <c r="F2101" s="1707"/>
      <c r="G2101" s="1707"/>
      <c r="H2101" s="1707"/>
      <c r="I2101" s="1707"/>
      <c r="J2101" s="1707"/>
      <c r="K2101" s="1707"/>
      <c r="L2101" s="1704"/>
      <c r="M2101" s="1704"/>
    </row>
    <row r="2102" spans="5:13" ht="15">
      <c r="E2102" s="1645"/>
      <c r="F2102" s="1707"/>
      <c r="G2102" s="1707"/>
      <c r="H2102" s="1707"/>
      <c r="I2102" s="1707"/>
      <c r="J2102" s="1707"/>
      <c r="K2102" s="1707"/>
      <c r="L2102" s="1704"/>
      <c r="M2102" s="1704"/>
    </row>
    <row r="2103" spans="5:13" ht="15">
      <c r="E2103" s="1645"/>
      <c r="F2103" s="1707"/>
      <c r="G2103" s="1707"/>
      <c r="H2103" s="1707"/>
      <c r="I2103" s="1707"/>
      <c r="J2103" s="1707"/>
      <c r="K2103" s="1707"/>
      <c r="L2103" s="1704"/>
      <c r="M2103" s="1704"/>
    </row>
    <row r="2104" spans="5:13" ht="15">
      <c r="E2104" s="1645"/>
      <c r="F2104" s="1707"/>
      <c r="G2104" s="1707"/>
      <c r="H2104" s="1707"/>
      <c r="I2104" s="1707"/>
      <c r="J2104" s="1707"/>
      <c r="K2104" s="1707"/>
      <c r="L2104" s="1704"/>
      <c r="M2104" s="1704"/>
    </row>
    <row r="2105" spans="5:13" ht="15">
      <c r="E2105" s="1645"/>
      <c r="F2105" s="1707"/>
      <c r="G2105" s="1707"/>
      <c r="H2105" s="1707"/>
      <c r="I2105" s="1707"/>
      <c r="J2105" s="1707"/>
      <c r="K2105" s="1707"/>
      <c r="L2105" s="1704"/>
      <c r="M2105" s="1704"/>
    </row>
    <row r="2106" spans="5:13" ht="15">
      <c r="E2106" s="1645"/>
      <c r="F2106" s="1707"/>
      <c r="G2106" s="1707"/>
      <c r="H2106" s="1707"/>
      <c r="I2106" s="1707"/>
      <c r="J2106" s="1707"/>
      <c r="K2106" s="1707"/>
      <c r="L2106" s="1704"/>
      <c r="M2106" s="1704"/>
    </row>
    <row r="2107" spans="5:13" ht="15">
      <c r="E2107" s="1645"/>
      <c r="F2107" s="1707"/>
      <c r="G2107" s="1707"/>
      <c r="H2107" s="1707"/>
      <c r="I2107" s="1707"/>
      <c r="J2107" s="1707"/>
      <c r="K2107" s="1707"/>
      <c r="L2107" s="1704"/>
      <c r="M2107" s="1704"/>
    </row>
    <row r="2108" spans="5:13" ht="15">
      <c r="E2108" s="1645"/>
      <c r="F2108" s="1707"/>
      <c r="G2108" s="1707"/>
      <c r="H2108" s="1707"/>
      <c r="I2108" s="1707"/>
      <c r="J2108" s="1707"/>
      <c r="K2108" s="1707"/>
      <c r="L2108" s="1704"/>
      <c r="M2108" s="1704"/>
    </row>
    <row r="2109" spans="5:13" ht="15">
      <c r="E2109" s="1645"/>
      <c r="F2109" s="1707"/>
      <c r="G2109" s="1707"/>
      <c r="H2109" s="1707"/>
      <c r="I2109" s="1707"/>
      <c r="J2109" s="1707"/>
      <c r="K2109" s="1707"/>
      <c r="L2109" s="1704"/>
      <c r="M2109" s="1704"/>
    </row>
    <row r="2110" spans="5:13" ht="15">
      <c r="E2110" s="1645"/>
      <c r="F2110" s="1707"/>
      <c r="G2110" s="1707"/>
      <c r="H2110" s="1707"/>
      <c r="I2110" s="1707"/>
      <c r="J2110" s="1707"/>
      <c r="K2110" s="1707"/>
      <c r="L2110" s="1704"/>
      <c r="M2110" s="1704"/>
    </row>
    <row r="2111" spans="5:13" ht="15">
      <c r="E2111" s="1645"/>
      <c r="F2111" s="1707"/>
      <c r="G2111" s="1707"/>
      <c r="H2111" s="1707"/>
      <c r="I2111" s="1707"/>
      <c r="J2111" s="1707"/>
      <c r="K2111" s="1707"/>
      <c r="L2111" s="1704"/>
      <c r="M2111" s="1704"/>
    </row>
    <row r="2112" spans="5:13" ht="15">
      <c r="E2112" s="1645"/>
      <c r="F2112" s="1707"/>
      <c r="G2112" s="1707"/>
      <c r="H2112" s="1707"/>
      <c r="I2112" s="1707"/>
      <c r="J2112" s="1707"/>
      <c r="K2112" s="1707"/>
      <c r="L2112" s="1704"/>
      <c r="M2112" s="1704"/>
    </row>
    <row r="2113" spans="5:13" ht="15">
      <c r="E2113" s="1645"/>
      <c r="F2113" s="1707"/>
      <c r="G2113" s="1707"/>
      <c r="H2113" s="1707"/>
      <c r="I2113" s="1707"/>
      <c r="J2113" s="1707"/>
      <c r="K2113" s="1707"/>
      <c r="L2113" s="1704"/>
      <c r="M2113" s="1704"/>
    </row>
    <row r="2114" spans="5:13" ht="15">
      <c r="E2114" s="1645"/>
      <c r="F2114" s="1707"/>
      <c r="G2114" s="1707"/>
      <c r="H2114" s="1707"/>
      <c r="I2114" s="1707"/>
      <c r="J2114" s="1707"/>
      <c r="K2114" s="1707"/>
      <c r="L2114" s="1704"/>
      <c r="M2114" s="1704"/>
    </row>
    <row r="2115" spans="5:13" ht="15">
      <c r="E2115" s="1645"/>
      <c r="F2115" s="1707"/>
      <c r="G2115" s="1707"/>
      <c r="H2115" s="1707"/>
      <c r="I2115" s="1707"/>
      <c r="J2115" s="1707"/>
      <c r="K2115" s="1707"/>
      <c r="L2115" s="1704"/>
      <c r="M2115" s="1704"/>
    </row>
    <row r="2116" spans="5:13" ht="15">
      <c r="E2116" s="1645"/>
      <c r="F2116" s="1707"/>
      <c r="G2116" s="1707"/>
      <c r="H2116" s="1707"/>
      <c r="I2116" s="1707"/>
      <c r="J2116" s="1707"/>
      <c r="K2116" s="1707"/>
      <c r="L2116" s="1704"/>
      <c r="M2116" s="1704"/>
    </row>
    <row r="2117" spans="5:13" ht="15">
      <c r="E2117" s="1645"/>
      <c r="F2117" s="1707"/>
      <c r="G2117" s="1707"/>
      <c r="H2117" s="1707"/>
      <c r="I2117" s="1707"/>
      <c r="J2117" s="1707"/>
      <c r="K2117" s="1707"/>
      <c r="L2117" s="1704"/>
      <c r="M2117" s="1704"/>
    </row>
    <row r="2118" spans="5:13" ht="15">
      <c r="E2118" s="1645"/>
      <c r="F2118" s="1707"/>
      <c r="G2118" s="1707"/>
      <c r="H2118" s="1707"/>
      <c r="I2118" s="1707"/>
      <c r="J2118" s="1707"/>
      <c r="K2118" s="1707"/>
      <c r="L2118" s="1704"/>
      <c r="M2118" s="1704"/>
    </row>
    <row r="2119" spans="5:13" ht="15">
      <c r="E2119" s="1645"/>
      <c r="F2119" s="1707"/>
      <c r="G2119" s="1707"/>
      <c r="H2119" s="1707"/>
      <c r="I2119" s="1707"/>
      <c r="J2119" s="1707"/>
      <c r="K2119" s="1707"/>
      <c r="L2119" s="1704"/>
      <c r="M2119" s="1704"/>
    </row>
    <row r="2120" spans="5:13" ht="15">
      <c r="E2120" s="1645"/>
      <c r="F2120" s="1707"/>
      <c r="G2120" s="1707"/>
      <c r="H2120" s="1707"/>
      <c r="I2120" s="1707"/>
      <c r="J2120" s="1707"/>
      <c r="K2120" s="1707"/>
      <c r="L2120" s="1704"/>
      <c r="M2120" s="1704"/>
    </row>
    <row r="2121" spans="5:13" ht="15">
      <c r="E2121" s="1645"/>
      <c r="F2121" s="1707"/>
      <c r="G2121" s="1707"/>
      <c r="H2121" s="1707"/>
      <c r="I2121" s="1707"/>
      <c r="J2121" s="1707"/>
      <c r="K2121" s="1707"/>
      <c r="L2121" s="1704"/>
      <c r="M2121" s="1704"/>
    </row>
    <row r="2122" spans="5:13" ht="15">
      <c r="E2122" s="1645"/>
      <c r="F2122" s="1707"/>
      <c r="G2122" s="1707"/>
      <c r="H2122" s="1707"/>
      <c r="I2122" s="1707"/>
      <c r="J2122" s="1707"/>
      <c r="K2122" s="1707"/>
      <c r="L2122" s="1704"/>
      <c r="M2122" s="1704"/>
    </row>
    <row r="2123" spans="5:13" ht="15">
      <c r="E2123" s="1645"/>
      <c r="F2123" s="1707"/>
      <c r="G2123" s="1707"/>
      <c r="H2123" s="1707"/>
      <c r="I2123" s="1707"/>
      <c r="J2123" s="1707"/>
      <c r="K2123" s="1707"/>
      <c r="L2123" s="1704"/>
      <c r="M2123" s="1704"/>
    </row>
    <row r="2124" spans="5:13" ht="15">
      <c r="E2124" s="1645"/>
      <c r="F2124" s="1707"/>
      <c r="G2124" s="1707"/>
      <c r="H2124" s="1707"/>
      <c r="I2124" s="1707"/>
      <c r="J2124" s="1707"/>
      <c r="K2124" s="1707"/>
      <c r="L2124" s="1704"/>
      <c r="M2124" s="1704"/>
    </row>
    <row r="2125" spans="5:13" ht="15">
      <c r="E2125" s="1645"/>
      <c r="F2125" s="1707"/>
      <c r="G2125" s="1707"/>
      <c r="H2125" s="1707"/>
      <c r="I2125" s="1707"/>
      <c r="J2125" s="1707"/>
      <c r="K2125" s="1707"/>
      <c r="L2125" s="1704"/>
      <c r="M2125" s="1704"/>
    </row>
    <row r="2126" spans="5:13" ht="15">
      <c r="E2126" s="1645"/>
      <c r="F2126" s="1707"/>
      <c r="G2126" s="1707"/>
      <c r="H2126" s="1707"/>
      <c r="I2126" s="1707"/>
      <c r="J2126" s="1707"/>
      <c r="K2126" s="1707"/>
      <c r="L2126" s="1704"/>
      <c r="M2126" s="1704"/>
    </row>
    <row r="2127" spans="5:13" ht="15">
      <c r="E2127" s="1645"/>
      <c r="F2127" s="1707"/>
      <c r="G2127" s="1707"/>
      <c r="H2127" s="1707"/>
      <c r="I2127" s="1707"/>
      <c r="J2127" s="1707"/>
      <c r="K2127" s="1707"/>
      <c r="L2127" s="1704"/>
      <c r="M2127" s="1704"/>
    </row>
    <row r="2128" spans="5:13" ht="15">
      <c r="E2128" s="1645"/>
      <c r="F2128" s="1707"/>
      <c r="G2128" s="1707"/>
      <c r="H2128" s="1707"/>
      <c r="I2128" s="1707"/>
      <c r="J2128" s="1707"/>
      <c r="K2128" s="1707"/>
      <c r="L2128" s="1704"/>
      <c r="M2128" s="1704"/>
    </row>
    <row r="2129" spans="5:13" ht="15">
      <c r="E2129" s="1645"/>
      <c r="F2129" s="1707"/>
      <c r="G2129" s="1707"/>
      <c r="H2129" s="1707"/>
      <c r="I2129" s="1707"/>
      <c r="J2129" s="1707"/>
      <c r="K2129" s="1707"/>
      <c r="L2129" s="1704"/>
      <c r="M2129" s="1704"/>
    </row>
    <row r="2130" spans="5:13" ht="15">
      <c r="E2130" s="1645"/>
      <c r="F2130" s="1707"/>
      <c r="G2130" s="1707"/>
      <c r="H2130" s="1707"/>
      <c r="I2130" s="1707"/>
      <c r="J2130" s="1707"/>
      <c r="K2130" s="1707"/>
      <c r="L2130" s="1704"/>
      <c r="M2130" s="1704"/>
    </row>
    <row r="2131" spans="5:13" ht="15">
      <c r="E2131" s="1645"/>
      <c r="F2131" s="1707"/>
      <c r="G2131" s="1707"/>
      <c r="H2131" s="1707"/>
      <c r="I2131" s="1707"/>
      <c r="J2131" s="1707"/>
      <c r="K2131" s="1707"/>
      <c r="L2131" s="1704"/>
      <c r="M2131" s="1704"/>
    </row>
    <row r="2132" spans="5:13" ht="15">
      <c r="E2132" s="1645"/>
      <c r="F2132" s="1707"/>
      <c r="G2132" s="1707"/>
      <c r="H2132" s="1707"/>
      <c r="I2132" s="1707"/>
      <c r="J2132" s="1707"/>
      <c r="K2132" s="1707"/>
      <c r="L2132" s="1704"/>
      <c r="M2132" s="1704"/>
    </row>
    <row r="2133" spans="5:13" ht="15">
      <c r="E2133" s="1645"/>
      <c r="F2133" s="1707"/>
      <c r="G2133" s="1707"/>
      <c r="H2133" s="1707"/>
      <c r="I2133" s="1707"/>
      <c r="J2133" s="1707"/>
      <c r="K2133" s="1707"/>
      <c r="L2133" s="1704"/>
      <c r="M2133" s="1704"/>
    </row>
    <row r="2134" spans="5:13" ht="15">
      <c r="E2134" s="1645"/>
      <c r="F2134" s="1707"/>
      <c r="G2134" s="1707"/>
      <c r="H2134" s="1707"/>
      <c r="I2134" s="1707"/>
      <c r="J2134" s="1707"/>
      <c r="K2134" s="1707"/>
      <c r="L2134" s="1704"/>
      <c r="M2134" s="1704"/>
    </row>
    <row r="2135" spans="5:13" ht="15">
      <c r="E2135" s="1645"/>
      <c r="F2135" s="1707"/>
      <c r="G2135" s="1707"/>
      <c r="H2135" s="1707"/>
      <c r="I2135" s="1707"/>
      <c r="J2135" s="1707"/>
      <c r="K2135" s="1707"/>
      <c r="L2135" s="1704"/>
      <c r="M2135" s="1704"/>
    </row>
    <row r="2136" spans="5:13" ht="15">
      <c r="E2136" s="1645"/>
      <c r="F2136" s="1707"/>
      <c r="G2136" s="1707"/>
      <c r="H2136" s="1707"/>
      <c r="I2136" s="1707"/>
      <c r="J2136" s="1707"/>
      <c r="K2136" s="1707"/>
      <c r="L2136" s="1704"/>
      <c r="M2136" s="1704"/>
    </row>
    <row r="2137" spans="5:13" ht="15">
      <c r="E2137" s="1645"/>
      <c r="F2137" s="1707"/>
      <c r="G2137" s="1707"/>
      <c r="H2137" s="1707"/>
      <c r="I2137" s="1707"/>
      <c r="J2137" s="1707"/>
      <c r="K2137" s="1707"/>
      <c r="L2137" s="1704"/>
      <c r="M2137" s="1704"/>
    </row>
    <row r="2138" spans="5:13" ht="15">
      <c r="E2138" s="1645"/>
      <c r="F2138" s="1707"/>
      <c r="G2138" s="1707"/>
      <c r="H2138" s="1707"/>
      <c r="I2138" s="1707"/>
      <c r="J2138" s="1707"/>
      <c r="K2138" s="1707"/>
      <c r="L2138" s="1704"/>
      <c r="M2138" s="1704"/>
    </row>
    <row r="2139" spans="5:13" ht="15">
      <c r="E2139" s="1645"/>
      <c r="F2139" s="1707"/>
      <c r="G2139" s="1707"/>
      <c r="H2139" s="1707"/>
      <c r="I2139" s="1707"/>
      <c r="J2139" s="1707"/>
      <c r="K2139" s="1707"/>
      <c r="L2139" s="1704"/>
      <c r="M2139" s="1704"/>
    </row>
    <row r="2140" spans="5:13" ht="15">
      <c r="E2140" s="1645"/>
      <c r="F2140" s="1707"/>
      <c r="G2140" s="1707"/>
      <c r="H2140" s="1707"/>
      <c r="I2140" s="1707"/>
      <c r="J2140" s="1707"/>
      <c r="K2140" s="1707"/>
      <c r="L2140" s="1704"/>
      <c r="M2140" s="1704"/>
    </row>
    <row r="2141" spans="5:13" ht="15">
      <c r="E2141" s="1645"/>
      <c r="F2141" s="1707"/>
      <c r="G2141" s="1707"/>
      <c r="H2141" s="1707"/>
      <c r="I2141" s="1707"/>
      <c r="J2141" s="1707"/>
      <c r="K2141" s="1707"/>
      <c r="L2141" s="1704"/>
      <c r="M2141" s="1704"/>
    </row>
    <row r="2142" spans="5:13" ht="15">
      <c r="E2142" s="1645"/>
      <c r="F2142" s="1707"/>
      <c r="G2142" s="1707"/>
      <c r="H2142" s="1707"/>
      <c r="I2142" s="1707"/>
      <c r="J2142" s="1707"/>
      <c r="K2142" s="1707"/>
      <c r="L2142" s="1704"/>
      <c r="M2142" s="1704"/>
    </row>
    <row r="2143" spans="5:13" ht="15">
      <c r="E2143" s="1645"/>
      <c r="F2143" s="1707"/>
      <c r="G2143" s="1707"/>
      <c r="H2143" s="1707"/>
      <c r="I2143" s="1707"/>
      <c r="J2143" s="1707"/>
      <c r="K2143" s="1707"/>
      <c r="L2143" s="1704"/>
      <c r="M2143" s="1704"/>
    </row>
    <row r="2144" spans="5:13" ht="15">
      <c r="E2144" s="1645"/>
      <c r="F2144" s="1707"/>
      <c r="G2144" s="1707"/>
      <c r="H2144" s="1707"/>
      <c r="I2144" s="1707"/>
      <c r="J2144" s="1707"/>
      <c r="K2144" s="1707"/>
      <c r="L2144" s="1704"/>
      <c r="M2144" s="1704"/>
    </row>
    <row r="2145" spans="5:13" ht="15">
      <c r="E2145" s="1645"/>
      <c r="F2145" s="1707"/>
      <c r="G2145" s="1707"/>
      <c r="H2145" s="1707"/>
      <c r="I2145" s="1707"/>
      <c r="J2145" s="1707"/>
      <c r="K2145" s="1707"/>
      <c r="L2145" s="1704"/>
      <c r="M2145" s="1704"/>
    </row>
    <row r="2146" spans="5:13" ht="15">
      <c r="E2146" s="1645"/>
      <c r="F2146" s="1707"/>
      <c r="G2146" s="1707"/>
      <c r="H2146" s="1707"/>
      <c r="I2146" s="1707"/>
      <c r="J2146" s="1707"/>
      <c r="K2146" s="1707"/>
      <c r="L2146" s="1704"/>
      <c r="M2146" s="1704"/>
    </row>
    <row r="2147" spans="5:13" ht="15">
      <c r="E2147" s="1645"/>
      <c r="F2147" s="1707"/>
      <c r="G2147" s="1707"/>
      <c r="H2147" s="1707"/>
      <c r="I2147" s="1707"/>
      <c r="J2147" s="1707"/>
      <c r="K2147" s="1707"/>
      <c r="L2147" s="1704"/>
      <c r="M2147" s="1704"/>
    </row>
    <row r="2148" spans="5:13" ht="15">
      <c r="E2148" s="1645"/>
      <c r="F2148" s="1707"/>
      <c r="G2148" s="1707"/>
      <c r="H2148" s="1707"/>
      <c r="I2148" s="1707"/>
      <c r="J2148" s="1707"/>
      <c r="K2148" s="1707"/>
      <c r="L2148" s="1704"/>
      <c r="M2148" s="1704"/>
    </row>
    <row r="2149" spans="5:13" ht="15">
      <c r="E2149" s="1645"/>
      <c r="F2149" s="1707"/>
      <c r="G2149" s="1707"/>
      <c r="H2149" s="1707"/>
      <c r="I2149" s="1707"/>
      <c r="J2149" s="1707"/>
      <c r="K2149" s="1707"/>
      <c r="L2149" s="1704"/>
      <c r="M2149" s="1704"/>
    </row>
    <row r="2150" spans="5:13" ht="15">
      <c r="E2150" s="1645"/>
      <c r="F2150" s="1707"/>
      <c r="G2150" s="1707"/>
      <c r="H2150" s="1707"/>
      <c r="I2150" s="1707"/>
      <c r="J2150" s="1707"/>
      <c r="K2150" s="1707"/>
      <c r="L2150" s="1704"/>
      <c r="M2150" s="1704"/>
    </row>
    <row r="2151" spans="5:13" ht="15">
      <c r="E2151" s="1645"/>
      <c r="F2151" s="1707"/>
      <c r="G2151" s="1707"/>
      <c r="H2151" s="1707"/>
      <c r="I2151" s="1707"/>
      <c r="J2151" s="1707"/>
      <c r="K2151" s="1707"/>
      <c r="L2151" s="1704"/>
      <c r="M2151" s="1704"/>
    </row>
    <row r="2152" spans="5:13" ht="15">
      <c r="E2152" s="1645"/>
      <c r="F2152" s="1707"/>
      <c r="G2152" s="1707"/>
      <c r="H2152" s="1707"/>
      <c r="I2152" s="1707"/>
      <c r="J2152" s="1707"/>
      <c r="K2152" s="1707"/>
      <c r="L2152" s="1704"/>
      <c r="M2152" s="1704"/>
    </row>
    <row r="2153" spans="5:13" ht="15">
      <c r="E2153" s="1645"/>
      <c r="F2153" s="1707"/>
      <c r="G2153" s="1707"/>
      <c r="H2153" s="1707"/>
      <c r="I2153" s="1707"/>
      <c r="J2153" s="1707"/>
      <c r="K2153" s="1707"/>
      <c r="L2153" s="1704"/>
      <c r="M2153" s="1704"/>
    </row>
    <row r="2154" spans="5:13" ht="15">
      <c r="E2154" s="1645"/>
      <c r="F2154" s="1707"/>
      <c r="G2154" s="1707"/>
      <c r="H2154" s="1707"/>
      <c r="I2154" s="1707"/>
      <c r="J2154" s="1707"/>
      <c r="K2154" s="1707"/>
      <c r="L2154" s="1704"/>
      <c r="M2154" s="1704"/>
    </row>
    <row r="2155" spans="5:13" ht="15">
      <c r="E2155" s="1645"/>
      <c r="F2155" s="1707"/>
      <c r="G2155" s="1707"/>
      <c r="H2155" s="1707"/>
      <c r="I2155" s="1707"/>
      <c r="J2155" s="1707"/>
      <c r="K2155" s="1707"/>
      <c r="L2155" s="1704"/>
      <c r="M2155" s="1704"/>
    </row>
    <row r="2156" spans="5:13" ht="15">
      <c r="E2156" s="1645"/>
      <c r="F2156" s="1707"/>
      <c r="G2156" s="1707"/>
      <c r="H2156" s="1707"/>
      <c r="I2156" s="1707"/>
      <c r="J2156" s="1707"/>
      <c r="K2156" s="1707"/>
      <c r="L2156" s="1704"/>
      <c r="M2156" s="1704"/>
    </row>
    <row r="2157" spans="5:13" ht="15">
      <c r="E2157" s="1645"/>
      <c r="F2157" s="1707"/>
      <c r="G2157" s="1707"/>
      <c r="H2157" s="1707"/>
      <c r="I2157" s="1707"/>
      <c r="J2157" s="1707"/>
      <c r="K2157" s="1707"/>
      <c r="L2157" s="1704"/>
      <c r="M2157" s="1704"/>
    </row>
    <row r="2158" spans="5:13" ht="15">
      <c r="E2158" s="1645"/>
      <c r="F2158" s="1707"/>
      <c r="G2158" s="1707"/>
      <c r="H2158" s="1707"/>
      <c r="I2158" s="1707"/>
      <c r="J2158" s="1707"/>
      <c r="K2158" s="1707"/>
      <c r="L2158" s="1704"/>
      <c r="M2158" s="1704"/>
    </row>
    <row r="2159" spans="5:13" ht="15">
      <c r="E2159" s="1645"/>
      <c r="F2159" s="1707"/>
      <c r="G2159" s="1707"/>
      <c r="H2159" s="1707"/>
      <c r="I2159" s="1707"/>
      <c r="J2159" s="1707"/>
      <c r="K2159" s="1707"/>
      <c r="L2159" s="1704"/>
      <c r="M2159" s="1704"/>
    </row>
    <row r="2160" spans="5:13" ht="15">
      <c r="E2160" s="1645"/>
      <c r="F2160" s="1707"/>
      <c r="G2160" s="1707"/>
      <c r="H2160" s="1707"/>
      <c r="I2160" s="1707"/>
      <c r="J2160" s="1707"/>
      <c r="K2160" s="1707"/>
      <c r="L2160" s="1704"/>
      <c r="M2160" s="1704"/>
    </row>
    <row r="2161" spans="5:13" ht="15">
      <c r="E2161" s="1645"/>
      <c r="F2161" s="1707"/>
      <c r="G2161" s="1707"/>
      <c r="H2161" s="1707"/>
      <c r="I2161" s="1707"/>
      <c r="J2161" s="1707"/>
      <c r="K2161" s="1707"/>
      <c r="L2161" s="1704"/>
      <c r="M2161" s="1704"/>
    </row>
    <row r="2162" spans="5:13" ht="15">
      <c r="E2162" s="1645"/>
      <c r="F2162" s="1707"/>
      <c r="G2162" s="1707"/>
      <c r="H2162" s="1707"/>
      <c r="I2162" s="1707"/>
      <c r="J2162" s="1707"/>
      <c r="K2162" s="1707"/>
      <c r="L2162" s="1704"/>
      <c r="M2162" s="1704"/>
    </row>
    <row r="2163" spans="5:13" ht="15">
      <c r="E2163" s="1645"/>
      <c r="F2163" s="1707"/>
      <c r="G2163" s="1707"/>
      <c r="H2163" s="1707"/>
      <c r="I2163" s="1707"/>
      <c r="J2163" s="1707"/>
      <c r="K2163" s="1707"/>
      <c r="L2163" s="1704"/>
      <c r="M2163" s="1704"/>
    </row>
    <row r="2164" spans="5:13" ht="15">
      <c r="E2164" s="1645"/>
      <c r="F2164" s="1707"/>
      <c r="G2164" s="1707"/>
      <c r="H2164" s="1707"/>
      <c r="I2164" s="1707"/>
      <c r="J2164" s="1707"/>
      <c r="K2164" s="1707"/>
      <c r="L2164" s="1704"/>
      <c r="M2164" s="1704"/>
    </row>
    <row r="2165" spans="5:13" ht="15">
      <c r="E2165" s="1645"/>
      <c r="F2165" s="1707"/>
      <c r="G2165" s="1707"/>
      <c r="H2165" s="1707"/>
      <c r="I2165" s="1707"/>
      <c r="J2165" s="1707"/>
      <c r="K2165" s="1707"/>
      <c r="L2165" s="1704"/>
      <c r="M2165" s="1704"/>
    </row>
    <row r="2166" spans="5:13" ht="15">
      <c r="E2166" s="1645"/>
      <c r="F2166" s="1707"/>
      <c r="G2166" s="1707"/>
      <c r="H2166" s="1707"/>
      <c r="I2166" s="1707"/>
      <c r="J2166" s="1707"/>
      <c r="K2166" s="1707"/>
      <c r="L2166" s="1704"/>
      <c r="M2166" s="1704"/>
    </row>
    <row r="2167" spans="5:13" ht="15">
      <c r="E2167" s="1645"/>
      <c r="F2167" s="1707"/>
      <c r="G2167" s="1707"/>
      <c r="H2167" s="1707"/>
      <c r="I2167" s="1707"/>
      <c r="J2167" s="1707"/>
      <c r="K2167" s="1707"/>
      <c r="L2167" s="1704"/>
      <c r="M2167" s="1704"/>
    </row>
    <row r="2168" spans="5:13" ht="15">
      <c r="E2168" s="1645"/>
      <c r="F2168" s="1707"/>
      <c r="G2168" s="1707"/>
      <c r="H2168" s="1707"/>
      <c r="I2168" s="1707"/>
      <c r="J2168" s="1707"/>
      <c r="K2168" s="1707"/>
      <c r="L2168" s="1704"/>
      <c r="M2168" s="1704"/>
    </row>
    <row r="2169" spans="5:13" ht="15">
      <c r="E2169" s="1645"/>
      <c r="F2169" s="1707"/>
      <c r="G2169" s="1707"/>
      <c r="H2169" s="1707"/>
      <c r="I2169" s="1707"/>
      <c r="J2169" s="1707"/>
      <c r="K2169" s="1707"/>
      <c r="L2169" s="1704"/>
      <c r="M2169" s="1704"/>
    </row>
    <row r="2170" spans="5:13" ht="15">
      <c r="E2170" s="1645"/>
      <c r="F2170" s="1707"/>
      <c r="G2170" s="1707"/>
      <c r="H2170" s="1707"/>
      <c r="I2170" s="1707"/>
      <c r="J2170" s="1707"/>
      <c r="K2170" s="1707"/>
      <c r="L2170" s="1704"/>
      <c r="M2170" s="1704"/>
    </row>
    <row r="2171" spans="5:13" ht="15">
      <c r="E2171" s="1645"/>
      <c r="F2171" s="1707"/>
      <c r="G2171" s="1707"/>
      <c r="H2171" s="1707"/>
      <c r="I2171" s="1707"/>
      <c r="J2171" s="1707"/>
      <c r="K2171" s="1707"/>
      <c r="L2171" s="1704"/>
      <c r="M2171" s="1704"/>
    </row>
    <row r="2172" spans="5:13" ht="15">
      <c r="E2172" s="1645"/>
      <c r="F2172" s="1707"/>
      <c r="G2172" s="1707"/>
      <c r="H2172" s="1707"/>
      <c r="I2172" s="1707"/>
      <c r="J2172" s="1707"/>
      <c r="K2172" s="1707"/>
      <c r="L2172" s="1704"/>
      <c r="M2172" s="1704"/>
    </row>
    <row r="2173" spans="5:13" ht="15">
      <c r="E2173" s="1645"/>
      <c r="F2173" s="1707"/>
      <c r="G2173" s="1707"/>
      <c r="H2173" s="1707"/>
      <c r="I2173" s="1707"/>
      <c r="J2173" s="1707"/>
      <c r="K2173" s="1707"/>
      <c r="L2173" s="1704"/>
      <c r="M2173" s="1704"/>
    </row>
    <row r="2174" spans="5:13" ht="15">
      <c r="E2174" s="1645"/>
      <c r="F2174" s="1707"/>
      <c r="G2174" s="1707"/>
      <c r="H2174" s="1707"/>
      <c r="I2174" s="1707"/>
      <c r="J2174" s="1707"/>
      <c r="K2174" s="1707"/>
      <c r="L2174" s="1704"/>
      <c r="M2174" s="1704"/>
    </row>
    <row r="2175" spans="5:13" ht="15">
      <c r="E2175" s="1645"/>
      <c r="F2175" s="1707"/>
      <c r="G2175" s="1707"/>
      <c r="H2175" s="1707"/>
      <c r="I2175" s="1707"/>
      <c r="J2175" s="1707"/>
      <c r="K2175" s="1707"/>
      <c r="L2175" s="1704"/>
      <c r="M2175" s="1704"/>
    </row>
    <row r="2176" spans="5:13" ht="15">
      <c r="E2176" s="1645"/>
      <c r="F2176" s="1707"/>
      <c r="G2176" s="1707"/>
      <c r="H2176" s="1707"/>
      <c r="I2176" s="1707"/>
      <c r="J2176" s="1707"/>
      <c r="K2176" s="1707"/>
      <c r="L2176" s="1704"/>
      <c r="M2176" s="1704"/>
    </row>
    <row r="2177" spans="5:13" ht="15">
      <c r="E2177" s="1645"/>
      <c r="F2177" s="1707"/>
      <c r="G2177" s="1707"/>
      <c r="H2177" s="1707"/>
      <c r="I2177" s="1707"/>
      <c r="J2177" s="1707"/>
      <c r="K2177" s="1707"/>
      <c r="L2177" s="1704"/>
      <c r="M2177" s="1704"/>
    </row>
    <row r="2178" spans="5:13" ht="15">
      <c r="E2178" s="1645"/>
      <c r="F2178" s="1707"/>
      <c r="G2178" s="1707"/>
      <c r="H2178" s="1707"/>
      <c r="I2178" s="1707"/>
      <c r="J2178" s="1707"/>
      <c r="K2178" s="1707"/>
      <c r="L2178" s="1704"/>
      <c r="M2178" s="1704"/>
    </row>
    <row r="2179" spans="5:13" ht="15">
      <c r="E2179" s="1645"/>
      <c r="F2179" s="1707"/>
      <c r="G2179" s="1707"/>
      <c r="H2179" s="1707"/>
      <c r="I2179" s="1707"/>
      <c r="J2179" s="1707"/>
      <c r="K2179" s="1707"/>
      <c r="L2179" s="1704"/>
      <c r="M2179" s="1704"/>
    </row>
    <row r="2180" spans="5:13" ht="15">
      <c r="E2180" s="1645"/>
      <c r="F2180" s="1707"/>
      <c r="G2180" s="1707"/>
      <c r="H2180" s="1707"/>
      <c r="I2180" s="1707"/>
      <c r="J2180" s="1707"/>
      <c r="K2180" s="1707"/>
      <c r="L2180" s="1704"/>
      <c r="M2180" s="1704"/>
    </row>
    <row r="2181" spans="5:13" ht="15">
      <c r="E2181" s="1645"/>
      <c r="F2181" s="1707"/>
      <c r="G2181" s="1707"/>
      <c r="H2181" s="1707"/>
      <c r="I2181" s="1707"/>
      <c r="J2181" s="1707"/>
      <c r="K2181" s="1707"/>
      <c r="L2181" s="1704"/>
      <c r="M2181" s="1704"/>
    </row>
    <row r="2182" spans="5:13" ht="15">
      <c r="E2182" s="1645"/>
      <c r="F2182" s="1707"/>
      <c r="G2182" s="1707"/>
      <c r="H2182" s="1707"/>
      <c r="I2182" s="1707"/>
      <c r="J2182" s="1707"/>
      <c r="K2182" s="1707"/>
      <c r="L2182" s="1704"/>
      <c r="M2182" s="1704"/>
    </row>
    <row r="2183" spans="5:13" ht="15">
      <c r="E2183" s="1645"/>
      <c r="F2183" s="1707"/>
      <c r="G2183" s="1707"/>
      <c r="H2183" s="1707"/>
      <c r="I2183" s="1707"/>
      <c r="J2183" s="1707"/>
      <c r="K2183" s="1707"/>
      <c r="L2183" s="1704"/>
      <c r="M2183" s="1704"/>
    </row>
    <row r="2184" spans="5:13" ht="15">
      <c r="E2184" s="1645"/>
      <c r="F2184" s="1707"/>
      <c r="G2184" s="1707"/>
      <c r="H2184" s="1707"/>
      <c r="I2184" s="1707"/>
      <c r="J2184" s="1707"/>
      <c r="K2184" s="1707"/>
      <c r="L2184" s="1704"/>
      <c r="M2184" s="1704"/>
    </row>
    <row r="2185" spans="5:13" ht="15">
      <c r="E2185" s="1645"/>
      <c r="F2185" s="1707"/>
      <c r="G2185" s="1707"/>
      <c r="H2185" s="1707"/>
      <c r="I2185" s="1707"/>
      <c r="J2185" s="1707"/>
      <c r="K2185" s="1707"/>
      <c r="L2185" s="1704"/>
      <c r="M2185" s="1704"/>
    </row>
    <row r="2186" spans="5:13" ht="15">
      <c r="E2186" s="1645"/>
      <c r="F2186" s="1707"/>
      <c r="G2186" s="1707"/>
      <c r="H2186" s="1707"/>
      <c r="I2186" s="1707"/>
      <c r="J2186" s="1707"/>
      <c r="K2186" s="1707"/>
      <c r="L2186" s="1704"/>
      <c r="M2186" s="1704"/>
    </row>
    <row r="2187" spans="5:13" ht="15">
      <c r="E2187" s="1645"/>
      <c r="F2187" s="1707"/>
      <c r="G2187" s="1707"/>
      <c r="H2187" s="1707"/>
      <c r="I2187" s="1707"/>
      <c r="J2187" s="1707"/>
      <c r="K2187" s="1707"/>
      <c r="L2187" s="1704"/>
      <c r="M2187" s="1704"/>
    </row>
    <row r="2188" spans="5:13" ht="15">
      <c r="E2188" s="1645"/>
      <c r="F2188" s="1707"/>
      <c r="G2188" s="1707"/>
      <c r="H2188" s="1707"/>
      <c r="I2188" s="1707"/>
      <c r="J2188" s="1707"/>
      <c r="K2188" s="1707"/>
      <c r="L2188" s="1704"/>
      <c r="M2188" s="1704"/>
    </row>
    <row r="2189" spans="5:13" ht="15">
      <c r="E2189" s="1645"/>
      <c r="F2189" s="1707"/>
      <c r="G2189" s="1707"/>
      <c r="H2189" s="1707"/>
      <c r="I2189" s="1707"/>
      <c r="J2189" s="1707"/>
      <c r="K2189" s="1707"/>
      <c r="L2189" s="1704"/>
      <c r="M2189" s="1704"/>
    </row>
    <row r="2190" spans="5:13" ht="15">
      <c r="E2190" s="1645"/>
      <c r="F2190" s="1707"/>
      <c r="G2190" s="1707"/>
      <c r="H2190" s="1707"/>
      <c r="I2190" s="1707"/>
      <c r="J2190" s="1707"/>
      <c r="K2190" s="1707"/>
      <c r="L2190" s="1704"/>
      <c r="M2190" s="1704"/>
    </row>
    <row r="2191" spans="5:13" ht="15">
      <c r="E2191" s="1645"/>
      <c r="F2191" s="1707"/>
      <c r="G2191" s="1707"/>
      <c r="H2191" s="1707"/>
      <c r="I2191" s="1707"/>
      <c r="J2191" s="1707"/>
      <c r="K2191" s="1707"/>
      <c r="L2191" s="1704"/>
      <c r="M2191" s="1704"/>
    </row>
    <row r="2192" spans="5:13" ht="15">
      <c r="E2192" s="1645"/>
      <c r="F2192" s="1707"/>
      <c r="G2192" s="1707"/>
      <c r="H2192" s="1707"/>
      <c r="I2192" s="1707"/>
      <c r="J2192" s="1707"/>
      <c r="K2192" s="1707"/>
      <c r="L2192" s="1704"/>
      <c r="M2192" s="1704"/>
    </row>
    <row r="2193" spans="5:13" ht="15">
      <c r="E2193" s="1645"/>
      <c r="F2193" s="1707"/>
      <c r="G2193" s="1707"/>
      <c r="H2193" s="1707"/>
      <c r="I2193" s="1707"/>
      <c r="J2193" s="1707"/>
      <c r="K2193" s="1707"/>
      <c r="L2193" s="1704"/>
      <c r="M2193" s="1704"/>
    </row>
    <row r="2194" spans="5:13" ht="15">
      <c r="E2194" s="1645"/>
      <c r="F2194" s="1707"/>
      <c r="G2194" s="1707"/>
      <c r="H2194" s="1707"/>
      <c r="I2194" s="1707"/>
      <c r="J2194" s="1707"/>
      <c r="K2194" s="1707"/>
      <c r="L2194" s="1704"/>
      <c r="M2194" s="1704"/>
    </row>
    <row r="2195" spans="5:13" ht="15">
      <c r="E2195" s="1645"/>
      <c r="F2195" s="1707"/>
      <c r="G2195" s="1707"/>
      <c r="H2195" s="1707"/>
      <c r="I2195" s="1707"/>
      <c r="J2195" s="1707"/>
      <c r="K2195" s="1707"/>
      <c r="L2195" s="1704"/>
      <c r="M2195" s="1704"/>
    </row>
    <row r="2196" spans="5:13" ht="15">
      <c r="E2196" s="1645"/>
      <c r="F2196" s="1707"/>
      <c r="G2196" s="1707"/>
      <c r="H2196" s="1707"/>
      <c r="I2196" s="1707"/>
      <c r="J2196" s="1707"/>
      <c r="K2196" s="1707"/>
      <c r="L2196" s="1704"/>
      <c r="M2196" s="1704"/>
    </row>
    <row r="2197" spans="5:13" ht="15">
      <c r="E2197" s="1645"/>
      <c r="F2197" s="1707"/>
      <c r="G2197" s="1707"/>
      <c r="H2197" s="1707"/>
      <c r="I2197" s="1707"/>
      <c r="J2197" s="1707"/>
      <c r="K2197" s="1707"/>
      <c r="L2197" s="1704"/>
      <c r="M2197" s="1704"/>
    </row>
    <row r="2198" spans="5:13" ht="15">
      <c r="E2198" s="1645"/>
      <c r="F2198" s="1707"/>
      <c r="G2198" s="1707"/>
      <c r="H2198" s="1707"/>
      <c r="I2198" s="1707"/>
      <c r="J2198" s="1707"/>
      <c r="K2198" s="1707"/>
      <c r="L2198" s="1704"/>
      <c r="M2198" s="1704"/>
    </row>
    <row r="2199" spans="5:13" ht="15">
      <c r="E2199" s="1645"/>
      <c r="F2199" s="1707"/>
      <c r="G2199" s="1707"/>
      <c r="H2199" s="1707"/>
      <c r="I2199" s="1707"/>
      <c r="J2199" s="1707"/>
      <c r="K2199" s="1707"/>
      <c r="L2199" s="1704"/>
      <c r="M2199" s="1704"/>
    </row>
    <row r="2200" spans="5:13" ht="15">
      <c r="E2200" s="1645"/>
      <c r="F2200" s="1707"/>
      <c r="G2200" s="1707"/>
      <c r="H2200" s="1707"/>
      <c r="I2200" s="1707"/>
      <c r="J2200" s="1707"/>
      <c r="K2200" s="1707"/>
      <c r="L2200" s="1704"/>
      <c r="M2200" s="1704"/>
    </row>
    <row r="2201" spans="5:13" ht="15">
      <c r="E2201" s="1645"/>
      <c r="F2201" s="1707"/>
      <c r="G2201" s="1707"/>
      <c r="H2201" s="1707"/>
      <c r="I2201" s="1707"/>
      <c r="J2201" s="1707"/>
      <c r="K2201" s="1707"/>
      <c r="L2201" s="1704"/>
      <c r="M2201" s="1704"/>
    </row>
    <row r="2202" spans="5:13" ht="15">
      <c r="E2202" s="1645"/>
      <c r="F2202" s="1707"/>
      <c r="G2202" s="1707"/>
      <c r="H2202" s="1707"/>
      <c r="I2202" s="1707"/>
      <c r="J2202" s="1707"/>
      <c r="K2202" s="1707"/>
      <c r="L2202" s="1704"/>
      <c r="M2202" s="1704"/>
    </row>
    <row r="2203" spans="5:13" ht="15">
      <c r="E2203" s="1645"/>
      <c r="F2203" s="1707"/>
      <c r="G2203" s="1707"/>
      <c r="H2203" s="1707"/>
      <c r="I2203" s="1707"/>
      <c r="J2203" s="1707"/>
      <c r="K2203" s="1707"/>
      <c r="L2203" s="1704"/>
      <c r="M2203" s="1704"/>
    </row>
    <row r="2204" spans="5:13" ht="15">
      <c r="E2204" s="1645"/>
      <c r="F2204" s="1707"/>
      <c r="G2204" s="1707"/>
      <c r="H2204" s="1707"/>
      <c r="I2204" s="1707"/>
      <c r="J2204" s="1707"/>
      <c r="K2204" s="1707"/>
      <c r="L2204" s="1704"/>
      <c r="M2204" s="1704"/>
    </row>
    <row r="2205" spans="5:13" ht="15">
      <c r="E2205" s="1645"/>
      <c r="F2205" s="1707"/>
      <c r="G2205" s="1707"/>
      <c r="H2205" s="1707"/>
      <c r="I2205" s="1707"/>
      <c r="J2205" s="1707"/>
      <c r="K2205" s="1707"/>
      <c r="L2205" s="1704"/>
      <c r="M2205" s="1704"/>
    </row>
    <row r="2206" spans="5:13" ht="15">
      <c r="E2206" s="1645"/>
      <c r="F2206" s="1707"/>
      <c r="G2206" s="1707"/>
      <c r="H2206" s="1707"/>
      <c r="I2206" s="1707"/>
      <c r="J2206" s="1707"/>
      <c r="K2206" s="1707"/>
      <c r="L2206" s="1704"/>
      <c r="M2206" s="1704"/>
    </row>
    <row r="2207" spans="5:13" ht="15">
      <c r="E2207" s="1645"/>
      <c r="F2207" s="1707"/>
      <c r="G2207" s="1707"/>
      <c r="H2207" s="1707"/>
      <c r="I2207" s="1707"/>
      <c r="J2207" s="1707"/>
      <c r="K2207" s="1707"/>
      <c r="L2207" s="1704"/>
      <c r="M2207" s="1704"/>
    </row>
    <row r="2208" spans="5:13" ht="15">
      <c r="E2208" s="1645"/>
      <c r="F2208" s="1707"/>
      <c r="G2208" s="1707"/>
      <c r="H2208" s="1707"/>
      <c r="I2208" s="1707"/>
      <c r="J2208" s="1707"/>
      <c r="K2208" s="1707"/>
      <c r="L2208" s="1704"/>
      <c r="M2208" s="1704"/>
    </row>
    <row r="2209" spans="5:13" ht="15">
      <c r="E2209" s="1645"/>
      <c r="F2209" s="1707"/>
      <c r="G2209" s="1707"/>
      <c r="H2209" s="1707"/>
      <c r="I2209" s="1707"/>
      <c r="J2209" s="1707"/>
      <c r="K2209" s="1707"/>
      <c r="L2209" s="1704"/>
      <c r="M2209" s="1704"/>
    </row>
    <row r="2210" spans="5:13" ht="15">
      <c r="E2210" s="1645"/>
      <c r="F2210" s="1707"/>
      <c r="G2210" s="1707"/>
      <c r="H2210" s="1707"/>
      <c r="I2210" s="1707"/>
      <c r="J2210" s="1707"/>
      <c r="K2210" s="1707"/>
      <c r="L2210" s="1704"/>
      <c r="M2210" s="1704"/>
    </row>
    <row r="2211" spans="5:13" ht="15">
      <c r="E2211" s="1645"/>
      <c r="F2211" s="1707"/>
      <c r="G2211" s="1707"/>
      <c r="H2211" s="1707"/>
      <c r="I2211" s="1707"/>
      <c r="J2211" s="1707"/>
      <c r="K2211" s="1707"/>
      <c r="L2211" s="1704"/>
      <c r="M2211" s="1704"/>
    </row>
    <row r="2212" spans="5:13" ht="15">
      <c r="E2212" s="1645"/>
      <c r="F2212" s="1707"/>
      <c r="G2212" s="1707"/>
      <c r="H2212" s="1707"/>
      <c r="I2212" s="1707"/>
      <c r="J2212" s="1707"/>
      <c r="K2212" s="1707"/>
      <c r="L2212" s="1704"/>
      <c r="M2212" s="1704"/>
    </row>
    <row r="2213" spans="5:13" ht="15">
      <c r="E2213" s="1645"/>
      <c r="F2213" s="1707"/>
      <c r="G2213" s="1707"/>
      <c r="H2213" s="1707"/>
      <c r="I2213" s="1707"/>
      <c r="J2213" s="1707"/>
      <c r="K2213" s="1707"/>
      <c r="L2213" s="1704"/>
      <c r="M2213" s="1704"/>
    </row>
    <row r="2214" spans="5:13" ht="15">
      <c r="E2214" s="1645"/>
      <c r="F2214" s="1707"/>
      <c r="G2214" s="1707"/>
      <c r="H2214" s="1707"/>
      <c r="I2214" s="1707"/>
      <c r="J2214" s="1707"/>
      <c r="K2214" s="1707"/>
      <c r="L2214" s="1704"/>
      <c r="M2214" s="1704"/>
    </row>
    <row r="2215" spans="5:13" ht="15">
      <c r="E2215" s="1645"/>
      <c r="F2215" s="1707"/>
      <c r="G2215" s="1707"/>
      <c r="H2215" s="1707"/>
      <c r="I2215" s="1707"/>
      <c r="J2215" s="1707"/>
      <c r="K2215" s="1707"/>
      <c r="L2215" s="1704"/>
      <c r="M2215" s="1704"/>
    </row>
    <row r="2216" spans="5:13" ht="15">
      <c r="E2216" s="1645"/>
      <c r="F2216" s="1707"/>
      <c r="G2216" s="1707"/>
      <c r="H2216" s="1707"/>
      <c r="I2216" s="1707"/>
      <c r="J2216" s="1707"/>
      <c r="K2216" s="1707"/>
      <c r="L2216" s="1704"/>
      <c r="M2216" s="1704"/>
    </row>
    <row r="2217" spans="5:13" ht="15">
      <c r="E2217" s="1645"/>
      <c r="F2217" s="1707"/>
      <c r="G2217" s="1707"/>
      <c r="H2217" s="1707"/>
      <c r="I2217" s="1707"/>
      <c r="J2217" s="1707"/>
      <c r="K2217" s="1707"/>
      <c r="L2217" s="1704"/>
      <c r="M2217" s="1704"/>
    </row>
    <row r="2218" spans="5:13" ht="15">
      <c r="E2218" s="1645"/>
      <c r="F2218" s="1707"/>
      <c r="G2218" s="1707"/>
      <c r="H2218" s="1707"/>
      <c r="I2218" s="1707"/>
      <c r="J2218" s="1707"/>
      <c r="K2218" s="1707"/>
      <c r="L2218" s="1704"/>
      <c r="M2218" s="1704"/>
    </row>
    <row r="2219" spans="5:13" ht="15">
      <c r="E2219" s="1645"/>
      <c r="F2219" s="1707"/>
      <c r="G2219" s="1707"/>
      <c r="H2219" s="1707"/>
      <c r="I2219" s="1707"/>
      <c r="J2219" s="1707"/>
      <c r="K2219" s="1707"/>
      <c r="L2219" s="1704"/>
      <c r="M2219" s="1704"/>
    </row>
    <row r="2220" spans="5:13" ht="15">
      <c r="E2220" s="1645"/>
      <c r="F2220" s="1707"/>
      <c r="G2220" s="1707"/>
      <c r="H2220" s="1707"/>
      <c r="I2220" s="1707"/>
      <c r="J2220" s="1707"/>
      <c r="K2220" s="1707"/>
      <c r="L2220" s="1704"/>
      <c r="M2220" s="1704"/>
    </row>
    <row r="2221" spans="5:13" ht="15">
      <c r="E2221" s="1645"/>
      <c r="F2221" s="1707"/>
      <c r="G2221" s="1707"/>
      <c r="H2221" s="1707"/>
      <c r="I2221" s="1707"/>
      <c r="J2221" s="1707"/>
      <c r="K2221" s="1707"/>
      <c r="L2221" s="1704"/>
      <c r="M2221" s="1704"/>
    </row>
    <row r="2222" spans="5:13" ht="15">
      <c r="E2222" s="1645"/>
      <c r="F2222" s="1707"/>
      <c r="G2222" s="1707"/>
      <c r="H2222" s="1707"/>
      <c r="I2222" s="1707"/>
      <c r="J2222" s="1707"/>
      <c r="K2222" s="1707"/>
      <c r="L2222" s="1704"/>
      <c r="M2222" s="1704"/>
    </row>
    <row r="2223" spans="5:13" ht="15">
      <c r="E2223" s="1645"/>
      <c r="F2223" s="1707"/>
      <c r="G2223" s="1707"/>
      <c r="H2223" s="1707"/>
      <c r="I2223" s="1707"/>
      <c r="J2223" s="1707"/>
      <c r="K2223" s="1707"/>
      <c r="L2223" s="1704"/>
      <c r="M2223" s="1704"/>
    </row>
    <row r="2224" spans="5:13" ht="15">
      <c r="E2224" s="1645"/>
      <c r="F2224" s="1707"/>
      <c r="G2224" s="1707"/>
      <c r="H2224" s="1707"/>
      <c r="I2224" s="1707"/>
      <c r="J2224" s="1707"/>
      <c r="K2224" s="1707"/>
      <c r="L2224" s="1704"/>
      <c r="M2224" s="1704"/>
    </row>
    <row r="2225" spans="5:13" ht="15">
      <c r="E2225" s="1645"/>
      <c r="F2225" s="1707"/>
      <c r="G2225" s="1707"/>
      <c r="H2225" s="1707"/>
      <c r="I2225" s="1707"/>
      <c r="J2225" s="1707"/>
      <c r="K2225" s="1707"/>
      <c r="L2225" s="1704"/>
      <c r="M2225" s="1704"/>
    </row>
    <row r="2226" spans="5:13" ht="15">
      <c r="E2226" s="1645"/>
      <c r="F2226" s="1707"/>
      <c r="G2226" s="1707"/>
      <c r="H2226" s="1707"/>
      <c r="I2226" s="1707"/>
      <c r="J2226" s="1707"/>
      <c r="K2226" s="1707"/>
      <c r="L2226" s="1704"/>
      <c r="M2226" s="1704"/>
    </row>
    <row r="2227" spans="5:13" ht="15">
      <c r="E2227" s="1645"/>
      <c r="F2227" s="1707"/>
      <c r="G2227" s="1707"/>
      <c r="H2227" s="1707"/>
      <c r="I2227" s="1707"/>
      <c r="J2227" s="1707"/>
      <c r="K2227" s="1707"/>
      <c r="L2227" s="1704"/>
      <c r="M2227" s="1704"/>
    </row>
    <row r="2228" spans="5:13" ht="15">
      <c r="E2228" s="1645"/>
      <c r="F2228" s="1707"/>
      <c r="G2228" s="1707"/>
      <c r="H2228" s="1707"/>
      <c r="I2228" s="1707"/>
      <c r="J2228" s="1707"/>
      <c r="K2228" s="1707"/>
      <c r="L2228" s="1704"/>
      <c r="M2228" s="1704"/>
    </row>
    <row r="2229" spans="5:13" ht="15">
      <c r="E2229" s="1645"/>
      <c r="F2229" s="1707"/>
      <c r="G2229" s="1707"/>
      <c r="H2229" s="1707"/>
      <c r="I2229" s="1707"/>
      <c r="J2229" s="1707"/>
      <c r="K2229" s="1707"/>
      <c r="L2229" s="1704"/>
      <c r="M2229" s="1704"/>
    </row>
    <row r="2230" spans="5:13" ht="15">
      <c r="E2230" s="1645"/>
      <c r="F2230" s="1707"/>
      <c r="G2230" s="1707"/>
      <c r="H2230" s="1707"/>
      <c r="I2230" s="1707"/>
      <c r="J2230" s="1707"/>
      <c r="K2230" s="1707"/>
      <c r="L2230" s="1704"/>
      <c r="M2230" s="1704"/>
    </row>
    <row r="2231" spans="5:13" ht="15">
      <c r="E2231" s="1645"/>
      <c r="F2231" s="1707"/>
      <c r="G2231" s="1707"/>
      <c r="H2231" s="1707"/>
      <c r="I2231" s="1707"/>
      <c r="J2231" s="1707"/>
      <c r="K2231" s="1707"/>
      <c r="L2231" s="1704"/>
      <c r="M2231" s="1704"/>
    </row>
    <row r="2232" spans="5:13" ht="15">
      <c r="E2232" s="1645"/>
      <c r="F2232" s="1707"/>
      <c r="G2232" s="1707"/>
      <c r="H2232" s="1707"/>
      <c r="I2232" s="1707"/>
      <c r="J2232" s="1707"/>
      <c r="K2232" s="1707"/>
      <c r="L2232" s="1704"/>
      <c r="M2232" s="1704"/>
    </row>
    <row r="2233" spans="5:13" ht="15">
      <c r="E2233" s="1645"/>
      <c r="F2233" s="1707"/>
      <c r="G2233" s="1707"/>
      <c r="H2233" s="1707"/>
      <c r="I2233" s="1707"/>
      <c r="J2233" s="1707"/>
      <c r="K2233" s="1707"/>
      <c r="L2233" s="1704"/>
      <c r="M2233" s="1704"/>
    </row>
    <row r="2234" spans="5:13" ht="15">
      <c r="E2234" s="1645"/>
      <c r="F2234" s="1707"/>
      <c r="G2234" s="1707"/>
      <c r="H2234" s="1707"/>
      <c r="I2234" s="1707"/>
      <c r="J2234" s="1707"/>
      <c r="K2234" s="1707"/>
      <c r="L2234" s="1704"/>
      <c r="M2234" s="1704"/>
    </row>
    <row r="2235" spans="5:13" ht="15">
      <c r="E2235" s="1645"/>
      <c r="F2235" s="1707"/>
      <c r="G2235" s="1707"/>
      <c r="H2235" s="1707"/>
      <c r="I2235" s="1707"/>
      <c r="J2235" s="1707"/>
      <c r="K2235" s="1707"/>
      <c r="L2235" s="1704"/>
      <c r="M2235" s="1704"/>
    </row>
    <row r="2236" spans="5:13" ht="15">
      <c r="E2236" s="1645"/>
      <c r="F2236" s="1707"/>
      <c r="G2236" s="1707"/>
      <c r="H2236" s="1707"/>
      <c r="I2236" s="1707"/>
      <c r="J2236" s="1707"/>
      <c r="K2236" s="1707"/>
      <c r="L2236" s="1704"/>
      <c r="M2236" s="1704"/>
    </row>
    <row r="2237" spans="5:13" ht="15">
      <c r="E2237" s="1645"/>
      <c r="F2237" s="1707"/>
      <c r="G2237" s="1707"/>
      <c r="H2237" s="1707"/>
      <c r="I2237" s="1707"/>
      <c r="J2237" s="1707"/>
      <c r="K2237" s="1707"/>
      <c r="L2237" s="1704"/>
      <c r="M2237" s="1704"/>
    </row>
    <row r="2238" spans="5:13" ht="15">
      <c r="E2238" s="1645"/>
      <c r="F2238" s="1707"/>
      <c r="G2238" s="1707"/>
      <c r="H2238" s="1707"/>
      <c r="I2238" s="1707"/>
      <c r="J2238" s="1707"/>
      <c r="K2238" s="1707"/>
      <c r="L2238" s="1704"/>
      <c r="M2238" s="1704"/>
    </row>
    <row r="2239" spans="5:13" ht="15">
      <c r="E2239" s="1645"/>
      <c r="F2239" s="1707"/>
      <c r="G2239" s="1707"/>
      <c r="H2239" s="1707"/>
      <c r="I2239" s="1707"/>
      <c r="J2239" s="1707"/>
      <c r="K2239" s="1707"/>
      <c r="L2239" s="1704"/>
      <c r="M2239" s="1704"/>
    </row>
    <row r="2240" spans="5:13" ht="15">
      <c r="E2240" s="1645"/>
      <c r="F2240" s="1707"/>
      <c r="G2240" s="1707"/>
      <c r="H2240" s="1707"/>
      <c r="I2240" s="1707"/>
      <c r="J2240" s="1707"/>
      <c r="K2240" s="1707"/>
      <c r="L2240" s="1704"/>
      <c r="M2240" s="1704"/>
    </row>
    <row r="2241" spans="5:13" ht="15">
      <c r="E2241" s="1645"/>
      <c r="F2241" s="1707"/>
      <c r="G2241" s="1707"/>
      <c r="H2241" s="1707"/>
      <c r="I2241" s="1707"/>
      <c r="J2241" s="1707"/>
      <c r="K2241" s="1707"/>
      <c r="L2241" s="1704"/>
      <c r="M2241" s="1704"/>
    </row>
    <row r="2242" spans="5:13" ht="15">
      <c r="E2242" s="1645"/>
      <c r="F2242" s="1707"/>
      <c r="G2242" s="1707"/>
      <c r="H2242" s="1707"/>
      <c r="I2242" s="1707"/>
      <c r="J2242" s="1707"/>
      <c r="K2242" s="1707"/>
      <c r="L2242" s="1704"/>
      <c r="M2242" s="1704"/>
    </row>
    <row r="2243" spans="5:13" ht="15">
      <c r="E2243" s="1645"/>
      <c r="F2243" s="1707"/>
      <c r="G2243" s="1707"/>
      <c r="H2243" s="1707"/>
      <c r="I2243" s="1707"/>
      <c r="J2243" s="1707"/>
      <c r="K2243" s="1707"/>
      <c r="L2243" s="1704"/>
      <c r="M2243" s="1704"/>
    </row>
    <row r="2244" spans="5:13" ht="15">
      <c r="E2244" s="1645"/>
      <c r="F2244" s="1707"/>
      <c r="G2244" s="1707"/>
      <c r="H2244" s="1707"/>
      <c r="I2244" s="1707"/>
      <c r="J2244" s="1707"/>
      <c r="K2244" s="1707"/>
      <c r="L2244" s="1704"/>
      <c r="M2244" s="1704"/>
    </row>
    <row r="2245" spans="5:13" ht="15">
      <c r="E2245" s="1645"/>
      <c r="F2245" s="1707"/>
      <c r="G2245" s="1707"/>
      <c r="H2245" s="1707"/>
      <c r="I2245" s="1707"/>
      <c r="J2245" s="1707"/>
      <c r="K2245" s="1707"/>
      <c r="L2245" s="1704"/>
      <c r="M2245" s="1704"/>
    </row>
    <row r="2246" spans="5:13" ht="15">
      <c r="E2246" s="1645"/>
      <c r="F2246" s="1707"/>
      <c r="G2246" s="1707"/>
      <c r="H2246" s="1707"/>
      <c r="I2246" s="1707"/>
      <c r="J2246" s="1707"/>
      <c r="K2246" s="1707"/>
      <c r="L2246" s="1704"/>
      <c r="M2246" s="1704"/>
    </row>
    <row r="2247" spans="5:13" ht="15">
      <c r="E2247" s="1645"/>
      <c r="F2247" s="1707"/>
      <c r="G2247" s="1707"/>
      <c r="H2247" s="1707"/>
      <c r="I2247" s="1707"/>
      <c r="J2247" s="1707"/>
      <c r="K2247" s="1707"/>
      <c r="L2247" s="1704"/>
      <c r="M2247" s="1704"/>
    </row>
    <row r="2248" spans="5:13" ht="15">
      <c r="E2248" s="1645"/>
      <c r="F2248" s="1707"/>
      <c r="G2248" s="1707"/>
      <c r="H2248" s="1707"/>
      <c r="I2248" s="1707"/>
      <c r="J2248" s="1707"/>
      <c r="K2248" s="1707"/>
      <c r="L2248" s="1704"/>
      <c r="M2248" s="1704"/>
    </row>
    <row r="2249" spans="5:13" ht="15">
      <c r="E2249" s="1645"/>
      <c r="F2249" s="1707"/>
      <c r="G2249" s="1707"/>
      <c r="H2249" s="1707"/>
      <c r="I2249" s="1707"/>
      <c r="J2249" s="1707"/>
      <c r="K2249" s="1707"/>
      <c r="L2249" s="1704"/>
      <c r="M2249" s="1704"/>
    </row>
    <row r="2250" spans="5:13" ht="15">
      <c r="E2250" s="1645"/>
      <c r="F2250" s="1707"/>
      <c r="G2250" s="1707"/>
      <c r="H2250" s="1707"/>
      <c r="I2250" s="1707"/>
      <c r="J2250" s="1707"/>
      <c r="K2250" s="1707"/>
      <c r="L2250" s="1704"/>
      <c r="M2250" s="1704"/>
    </row>
    <row r="2251" spans="5:13" ht="15">
      <c r="E2251" s="1645"/>
      <c r="F2251" s="1707"/>
      <c r="G2251" s="1707"/>
      <c r="H2251" s="1707"/>
      <c r="I2251" s="1707"/>
      <c r="J2251" s="1707"/>
      <c r="K2251" s="1707"/>
      <c r="L2251" s="1704"/>
      <c r="M2251" s="1704"/>
    </row>
    <row r="2252" spans="5:13" ht="15">
      <c r="E2252" s="1645"/>
      <c r="F2252" s="1707"/>
      <c r="G2252" s="1707"/>
      <c r="H2252" s="1707"/>
      <c r="I2252" s="1707"/>
      <c r="J2252" s="1707"/>
      <c r="K2252" s="1707"/>
      <c r="L2252" s="1704"/>
      <c r="M2252" s="1704"/>
    </row>
    <row r="2253" spans="5:13" ht="15">
      <c r="E2253" s="1645"/>
      <c r="F2253" s="1707"/>
      <c r="G2253" s="1707"/>
      <c r="H2253" s="1707"/>
      <c r="I2253" s="1707"/>
      <c r="J2253" s="1707"/>
      <c r="K2253" s="1707"/>
      <c r="L2253" s="1704"/>
      <c r="M2253" s="1704"/>
    </row>
    <row r="2254" spans="5:13" ht="15">
      <c r="E2254" s="1645"/>
      <c r="F2254" s="1707"/>
      <c r="G2254" s="1707"/>
      <c r="H2254" s="1707"/>
      <c r="I2254" s="1707"/>
      <c r="J2254" s="1707"/>
      <c r="K2254" s="1707"/>
      <c r="L2254" s="1704"/>
      <c r="M2254" s="1704"/>
    </row>
    <row r="2255" spans="5:13" ht="15">
      <c r="E2255" s="1645"/>
      <c r="F2255" s="1707"/>
      <c r="G2255" s="1707"/>
      <c r="H2255" s="1707"/>
      <c r="I2255" s="1707"/>
      <c r="J2255" s="1707"/>
      <c r="K2255" s="1707"/>
      <c r="L2255" s="1704"/>
      <c r="M2255" s="1704"/>
    </row>
    <row r="2256" spans="5:13" ht="15">
      <c r="E2256" s="1645"/>
      <c r="F2256" s="1707"/>
      <c r="G2256" s="1707"/>
      <c r="H2256" s="1707"/>
      <c r="I2256" s="1707"/>
      <c r="J2256" s="1707"/>
      <c r="K2256" s="1707"/>
      <c r="L2256" s="1704"/>
      <c r="M2256" s="1704"/>
    </row>
    <row r="2257" spans="5:13" ht="15">
      <c r="E2257" s="1645"/>
      <c r="F2257" s="1707"/>
      <c r="G2257" s="1707"/>
      <c r="H2257" s="1707"/>
      <c r="I2257" s="1707"/>
      <c r="J2257" s="1707"/>
      <c r="K2257" s="1707"/>
      <c r="L2257" s="1704"/>
      <c r="M2257" s="1704"/>
    </row>
    <row r="2258" spans="5:13" ht="15">
      <c r="E2258" s="1645"/>
      <c r="F2258" s="1707"/>
      <c r="G2258" s="1707"/>
      <c r="H2258" s="1707"/>
      <c r="I2258" s="1707"/>
      <c r="J2258" s="1707"/>
      <c r="K2258" s="1707"/>
      <c r="L2258" s="1704"/>
      <c r="M2258" s="1704"/>
    </row>
    <row r="2259" spans="5:13" ht="15">
      <c r="E2259" s="1645"/>
      <c r="F2259" s="1707"/>
      <c r="G2259" s="1707"/>
      <c r="H2259" s="1707"/>
      <c r="I2259" s="1707"/>
      <c r="J2259" s="1707"/>
      <c r="K2259" s="1707"/>
      <c r="L2259" s="1704"/>
      <c r="M2259" s="1704"/>
    </row>
    <row r="2260" spans="5:13" ht="15">
      <c r="E2260" s="1645"/>
      <c r="F2260" s="1707"/>
      <c r="G2260" s="1707"/>
      <c r="H2260" s="1707"/>
      <c r="I2260" s="1707"/>
      <c r="J2260" s="1707"/>
      <c r="K2260" s="1707"/>
      <c r="L2260" s="1704"/>
      <c r="M2260" s="1704"/>
    </row>
    <row r="2261" spans="5:13" ht="15">
      <c r="E2261" s="1645"/>
      <c r="F2261" s="1707"/>
      <c r="G2261" s="1707"/>
      <c r="H2261" s="1707"/>
      <c r="I2261" s="1707"/>
      <c r="J2261" s="1707"/>
      <c r="K2261" s="1707"/>
      <c r="L2261" s="1704"/>
      <c r="M2261" s="1704"/>
    </row>
    <row r="2262" spans="5:13" ht="15">
      <c r="E2262" s="1645"/>
      <c r="F2262" s="1707"/>
      <c r="G2262" s="1707"/>
      <c r="H2262" s="1707"/>
      <c r="I2262" s="1707"/>
      <c r="J2262" s="1707"/>
      <c r="K2262" s="1707"/>
      <c r="L2262" s="1704"/>
      <c r="M2262" s="1704"/>
    </row>
    <row r="2263" spans="5:13" ht="15">
      <c r="E2263" s="1645"/>
      <c r="F2263" s="1707"/>
      <c r="G2263" s="1707"/>
      <c r="H2263" s="1707"/>
      <c r="I2263" s="1707"/>
      <c r="J2263" s="1707"/>
      <c r="K2263" s="1707"/>
      <c r="L2263" s="1704"/>
      <c r="M2263" s="1704"/>
    </row>
    <row r="2264" spans="5:13" ht="15">
      <c r="E2264" s="1645"/>
      <c r="F2264" s="1707"/>
      <c r="G2264" s="1707"/>
      <c r="H2264" s="1707"/>
      <c r="I2264" s="1707"/>
      <c r="J2264" s="1707"/>
      <c r="K2264" s="1707"/>
      <c r="L2264" s="1704"/>
      <c r="M2264" s="1704"/>
    </row>
    <row r="2265" spans="5:13" ht="15">
      <c r="E2265" s="1645"/>
      <c r="F2265" s="1707"/>
      <c r="G2265" s="1707"/>
      <c r="H2265" s="1707"/>
      <c r="I2265" s="1707"/>
      <c r="J2265" s="1707"/>
      <c r="K2265" s="1707"/>
      <c r="L2265" s="1704"/>
      <c r="M2265" s="1704"/>
    </row>
    <row r="2266" spans="5:13" ht="15">
      <c r="E2266" s="1645"/>
      <c r="F2266" s="1707"/>
      <c r="G2266" s="1707"/>
      <c r="H2266" s="1707"/>
      <c r="I2266" s="1707"/>
      <c r="J2266" s="1707"/>
      <c r="K2266" s="1707"/>
      <c r="L2266" s="1704"/>
      <c r="M2266" s="1704"/>
    </row>
    <row r="2267" spans="5:13" ht="15">
      <c r="E2267" s="1645"/>
      <c r="F2267" s="1707"/>
      <c r="G2267" s="1707"/>
      <c r="H2267" s="1707"/>
      <c r="I2267" s="1707"/>
      <c r="J2267" s="1707"/>
      <c r="K2267" s="1707"/>
      <c r="L2267" s="1704"/>
      <c r="M2267" s="1704"/>
    </row>
    <row r="2268" spans="5:13" ht="15">
      <c r="E2268" s="1645"/>
      <c r="F2268" s="1707"/>
      <c r="G2268" s="1707"/>
      <c r="H2268" s="1707"/>
      <c r="I2268" s="1707"/>
      <c r="J2268" s="1707"/>
      <c r="K2268" s="1707"/>
      <c r="L2268" s="1704"/>
      <c r="M2268" s="1704"/>
    </row>
    <row r="2269" spans="5:13" ht="15">
      <c r="E2269" s="1645"/>
      <c r="F2269" s="1707"/>
      <c r="G2269" s="1707"/>
      <c r="H2269" s="1707"/>
      <c r="I2269" s="1707"/>
      <c r="J2269" s="1707"/>
      <c r="K2269" s="1707"/>
      <c r="L2269" s="1704"/>
      <c r="M2269" s="1704"/>
    </row>
    <row r="2270" spans="5:13" ht="15">
      <c r="E2270" s="1645"/>
      <c r="F2270" s="1707"/>
      <c r="G2270" s="1707"/>
      <c r="H2270" s="1707"/>
      <c r="I2270" s="1707"/>
      <c r="J2270" s="1707"/>
      <c r="K2270" s="1707"/>
      <c r="L2270" s="1704"/>
      <c r="M2270" s="1704"/>
    </row>
    <row r="2271" spans="5:13" ht="15">
      <c r="E2271" s="1645"/>
      <c r="F2271" s="1707"/>
      <c r="G2271" s="1707"/>
      <c r="H2271" s="1707"/>
      <c r="I2271" s="1707"/>
      <c r="J2271" s="1707"/>
      <c r="K2271" s="1707"/>
      <c r="L2271" s="1704"/>
      <c r="M2271" s="1704"/>
    </row>
    <row r="2272" spans="5:13" ht="15">
      <c r="E2272" s="1645"/>
      <c r="F2272" s="1707"/>
      <c r="G2272" s="1707"/>
      <c r="H2272" s="1707"/>
      <c r="I2272" s="1707"/>
      <c r="J2272" s="1707"/>
      <c r="K2272" s="1707"/>
      <c r="L2272" s="1704"/>
      <c r="M2272" s="1704"/>
    </row>
    <row r="2273" spans="5:13" ht="15">
      <c r="E2273" s="1645"/>
      <c r="F2273" s="1707"/>
      <c r="G2273" s="1707"/>
      <c r="H2273" s="1707"/>
      <c r="I2273" s="1707"/>
      <c r="J2273" s="1707"/>
      <c r="K2273" s="1707"/>
      <c r="L2273" s="1704"/>
      <c r="M2273" s="1704"/>
    </row>
    <row r="2274" spans="5:13" ht="15">
      <c r="E2274" s="1645"/>
      <c r="F2274" s="1707"/>
      <c r="G2274" s="1707"/>
      <c r="H2274" s="1707"/>
      <c r="I2274" s="1707"/>
      <c r="J2274" s="1707"/>
      <c r="K2274" s="1707"/>
      <c r="L2274" s="1704"/>
      <c r="M2274" s="1704"/>
    </row>
    <row r="2275" spans="5:13" ht="15">
      <c r="E2275" s="1645"/>
      <c r="F2275" s="1707"/>
      <c r="G2275" s="1707"/>
      <c r="H2275" s="1707"/>
      <c r="I2275" s="1707"/>
      <c r="J2275" s="1707"/>
      <c r="K2275" s="1707"/>
      <c r="L2275" s="1704"/>
      <c r="M2275" s="1704"/>
    </row>
    <row r="2276" spans="5:13" ht="15">
      <c r="E2276" s="1645"/>
      <c r="F2276" s="1707"/>
      <c r="G2276" s="1707"/>
      <c r="H2276" s="1707"/>
      <c r="I2276" s="1707"/>
      <c r="J2276" s="1707"/>
      <c r="K2276" s="1707"/>
      <c r="L2276" s="1704"/>
      <c r="M2276" s="1704"/>
    </row>
    <row r="2277" spans="5:13" ht="15">
      <c r="E2277" s="1645"/>
      <c r="F2277" s="1707"/>
      <c r="G2277" s="1707"/>
      <c r="H2277" s="1707"/>
      <c r="I2277" s="1707"/>
      <c r="J2277" s="1707"/>
      <c r="K2277" s="1707"/>
      <c r="L2277" s="1704"/>
      <c r="M2277" s="1704"/>
    </row>
    <row r="2278" spans="5:13" ht="15">
      <c r="E2278" s="1645"/>
      <c r="F2278" s="1707"/>
      <c r="G2278" s="1707"/>
      <c r="H2278" s="1707"/>
      <c r="I2278" s="1707"/>
      <c r="J2278" s="1707"/>
      <c r="K2278" s="1707"/>
      <c r="L2278" s="1704"/>
      <c r="M2278" s="1704"/>
    </row>
    <row r="2279" spans="5:13" ht="15">
      <c r="E2279" s="1645"/>
      <c r="F2279" s="1707"/>
      <c r="G2279" s="1707"/>
      <c r="H2279" s="1707"/>
      <c r="I2279" s="1707"/>
      <c r="J2279" s="1707"/>
      <c r="K2279" s="1707"/>
      <c r="L2279" s="1704"/>
      <c r="M2279" s="1704"/>
    </row>
    <row r="2280" spans="5:13" ht="15">
      <c r="E2280" s="1645"/>
      <c r="F2280" s="1707"/>
      <c r="G2280" s="1707"/>
      <c r="H2280" s="1707"/>
      <c r="I2280" s="1707"/>
      <c r="J2280" s="1707"/>
      <c r="K2280" s="1707"/>
      <c r="L2280" s="1704"/>
      <c r="M2280" s="1704"/>
    </row>
    <row r="2281" spans="5:13" ht="15">
      <c r="E2281" s="1645"/>
      <c r="F2281" s="1707"/>
      <c r="G2281" s="1707"/>
      <c r="H2281" s="1707"/>
      <c r="I2281" s="1707"/>
      <c r="J2281" s="1707"/>
      <c r="K2281" s="1707"/>
      <c r="L2281" s="1704"/>
      <c r="M2281" s="1704"/>
    </row>
    <row r="2282" spans="5:13" ht="15">
      <c r="E2282" s="1645"/>
      <c r="F2282" s="1707"/>
      <c r="G2282" s="1707"/>
      <c r="H2282" s="1707"/>
      <c r="I2282" s="1707"/>
      <c r="J2282" s="1707"/>
      <c r="K2282" s="1707"/>
      <c r="L2282" s="1704"/>
      <c r="M2282" s="1704"/>
    </row>
    <row r="2283" spans="5:13" ht="15">
      <c r="E2283" s="1645"/>
      <c r="F2283" s="1707"/>
      <c r="G2283" s="1707"/>
      <c r="H2283" s="1707"/>
      <c r="I2283" s="1707"/>
      <c r="J2283" s="1707"/>
      <c r="K2283" s="1707"/>
      <c r="L2283" s="1704"/>
      <c r="M2283" s="1704"/>
    </row>
    <row r="2284" spans="5:13" ht="15">
      <c r="E2284" s="1645"/>
      <c r="F2284" s="1707"/>
      <c r="G2284" s="1707"/>
      <c r="H2284" s="1707"/>
      <c r="I2284" s="1707"/>
      <c r="J2284" s="1707"/>
      <c r="K2284" s="1707"/>
      <c r="L2284" s="1704"/>
      <c r="M2284" s="1704"/>
    </row>
    <row r="2285" spans="5:13" ht="15">
      <c r="E2285" s="1645"/>
      <c r="F2285" s="1707"/>
      <c r="G2285" s="1707"/>
      <c r="H2285" s="1707"/>
      <c r="I2285" s="1707"/>
      <c r="J2285" s="1707"/>
      <c r="K2285" s="1707"/>
      <c r="L2285" s="1704"/>
      <c r="M2285" s="1704"/>
    </row>
    <row r="2286" spans="5:13" ht="15">
      <c r="E2286" s="1645"/>
      <c r="F2286" s="1707"/>
      <c r="G2286" s="1707"/>
      <c r="H2286" s="1707"/>
      <c r="I2286" s="1707"/>
      <c r="J2286" s="1707"/>
      <c r="K2286" s="1707"/>
      <c r="L2286" s="1704"/>
      <c r="M2286" s="1704"/>
    </row>
    <row r="2287" spans="5:13" ht="15">
      <c r="E2287" s="1645"/>
      <c r="F2287" s="1707"/>
      <c r="G2287" s="1707"/>
      <c r="H2287" s="1707"/>
      <c r="I2287" s="1707"/>
      <c r="J2287" s="1707"/>
      <c r="K2287" s="1707"/>
      <c r="L2287" s="1704"/>
      <c r="M2287" s="1704"/>
    </row>
    <row r="2288" spans="5:13" ht="15">
      <c r="E2288" s="1645"/>
      <c r="F2288" s="1707"/>
      <c r="G2288" s="1707"/>
      <c r="H2288" s="1707"/>
      <c r="I2288" s="1707"/>
      <c r="J2288" s="1707"/>
      <c r="K2288" s="1707"/>
      <c r="L2288" s="1704"/>
      <c r="M2288" s="1704"/>
    </row>
    <row r="2289" spans="5:13" ht="15">
      <c r="E2289" s="1645"/>
      <c r="F2289" s="1707"/>
      <c r="G2289" s="1707"/>
      <c r="H2289" s="1707"/>
      <c r="I2289" s="1707"/>
      <c r="J2289" s="1707"/>
      <c r="K2289" s="1707"/>
      <c r="L2289" s="1704"/>
      <c r="M2289" s="1704"/>
    </row>
    <row r="2290" spans="5:13" ht="15">
      <c r="E2290" s="1645"/>
      <c r="F2290" s="1707"/>
      <c r="G2290" s="1707"/>
      <c r="H2290" s="1707"/>
      <c r="I2290" s="1707"/>
      <c r="J2290" s="1707"/>
      <c r="K2290" s="1707"/>
      <c r="L2290" s="1704"/>
      <c r="M2290" s="1704"/>
    </row>
    <row r="2291" spans="5:13" ht="15">
      <c r="E2291" s="1645"/>
      <c r="F2291" s="1707"/>
      <c r="G2291" s="1707"/>
      <c r="H2291" s="1707"/>
      <c r="I2291" s="1707"/>
      <c r="J2291" s="1707"/>
      <c r="K2291" s="1707"/>
      <c r="L2291" s="1704"/>
      <c r="M2291" s="1704"/>
    </row>
    <row r="2292" spans="5:13" ht="15">
      <c r="E2292" s="1645"/>
      <c r="F2292" s="1707"/>
      <c r="G2292" s="1707"/>
      <c r="H2292" s="1707"/>
      <c r="I2292" s="1707"/>
      <c r="J2292" s="1707"/>
      <c r="K2292" s="1707"/>
      <c r="L2292" s="1704"/>
      <c r="M2292" s="1704"/>
    </row>
    <row r="2293" spans="5:13" ht="15">
      <c r="E2293" s="1645"/>
      <c r="F2293" s="1707"/>
      <c r="G2293" s="1707"/>
      <c r="H2293" s="1707"/>
      <c r="I2293" s="1707"/>
      <c r="J2293" s="1707"/>
      <c r="K2293" s="1707"/>
      <c r="L2293" s="1704"/>
      <c r="M2293" s="1704"/>
    </row>
    <row r="2294" spans="5:13" ht="15">
      <c r="E2294" s="1645"/>
      <c r="F2294" s="1707"/>
      <c r="G2294" s="1707"/>
      <c r="H2294" s="1707"/>
      <c r="I2294" s="1707"/>
      <c r="J2294" s="1707"/>
      <c r="K2294" s="1707"/>
      <c r="L2294" s="1704"/>
      <c r="M2294" s="1704"/>
    </row>
    <row r="2295" spans="5:13" ht="15">
      <c r="E2295" s="1645"/>
      <c r="F2295" s="1707"/>
      <c r="G2295" s="1707"/>
      <c r="H2295" s="1707"/>
      <c r="I2295" s="1707"/>
      <c r="J2295" s="1707"/>
      <c r="K2295" s="1707"/>
      <c r="L2295" s="1704"/>
      <c r="M2295" s="1704"/>
    </row>
    <row r="2296" spans="5:13" ht="15">
      <c r="E2296" s="1645"/>
      <c r="F2296" s="1707"/>
      <c r="G2296" s="1707"/>
      <c r="H2296" s="1707"/>
      <c r="I2296" s="1707"/>
      <c r="J2296" s="1707"/>
      <c r="K2296" s="1707"/>
      <c r="L2296" s="1704"/>
      <c r="M2296" s="1704"/>
    </row>
    <row r="2297" spans="5:13" ht="15">
      <c r="E2297" s="1645"/>
      <c r="F2297" s="1707"/>
      <c r="G2297" s="1707"/>
      <c r="H2297" s="1707"/>
      <c r="I2297" s="1707"/>
      <c r="J2297" s="1707"/>
      <c r="K2297" s="1707"/>
      <c r="L2297" s="1704"/>
      <c r="M2297" s="1704"/>
    </row>
    <row r="2298" spans="5:13" ht="15">
      <c r="E2298" s="1645"/>
      <c r="F2298" s="1707"/>
      <c r="G2298" s="1707"/>
      <c r="H2298" s="1707"/>
      <c r="I2298" s="1707"/>
      <c r="J2298" s="1707"/>
      <c r="K2298" s="1707"/>
      <c r="L2298" s="1704"/>
      <c r="M2298" s="1704"/>
    </row>
    <row r="2299" spans="5:13" ht="15">
      <c r="E2299" s="1645"/>
      <c r="F2299" s="1707"/>
      <c r="G2299" s="1707"/>
      <c r="H2299" s="1707"/>
      <c r="I2299" s="1707"/>
      <c r="J2299" s="1707"/>
      <c r="K2299" s="1707"/>
      <c r="L2299" s="1704"/>
      <c r="M2299" s="1704"/>
    </row>
    <row r="2300" spans="5:13" ht="15">
      <c r="E2300" s="1645"/>
      <c r="F2300" s="1707"/>
      <c r="G2300" s="1707"/>
      <c r="H2300" s="1707"/>
      <c r="I2300" s="1707"/>
      <c r="J2300" s="1707"/>
      <c r="K2300" s="1707"/>
      <c r="L2300" s="1704"/>
      <c r="M2300" s="1704"/>
    </row>
    <row r="2301" spans="5:13" ht="15">
      <c r="E2301" s="1645"/>
      <c r="F2301" s="1707"/>
      <c r="G2301" s="1707"/>
      <c r="H2301" s="1707"/>
      <c r="I2301" s="1707"/>
      <c r="J2301" s="1707"/>
      <c r="K2301" s="1707"/>
      <c r="L2301" s="1704"/>
      <c r="M2301" s="1704"/>
    </row>
    <row r="2302" spans="5:13" ht="15">
      <c r="E2302" s="1645"/>
      <c r="F2302" s="1707"/>
      <c r="G2302" s="1707"/>
      <c r="H2302" s="1707"/>
      <c r="I2302" s="1707"/>
      <c r="J2302" s="1707"/>
      <c r="K2302" s="1707"/>
      <c r="L2302" s="1704"/>
      <c r="M2302" s="1704"/>
    </row>
    <row r="2303" spans="5:13" ht="15">
      <c r="E2303" s="1645"/>
      <c r="F2303" s="1707"/>
      <c r="G2303" s="1707"/>
      <c r="H2303" s="1707"/>
      <c r="I2303" s="1707"/>
      <c r="J2303" s="1707"/>
      <c r="K2303" s="1707"/>
      <c r="L2303" s="1704"/>
      <c r="M2303" s="1704"/>
    </row>
    <row r="2304" spans="5:13" ht="15">
      <c r="E2304" s="1645"/>
      <c r="F2304" s="1707"/>
      <c r="G2304" s="1707"/>
      <c r="H2304" s="1707"/>
      <c r="I2304" s="1707"/>
      <c r="J2304" s="1707"/>
      <c r="K2304" s="1707"/>
      <c r="L2304" s="1704"/>
      <c r="M2304" s="1704"/>
    </row>
    <row r="2305" spans="5:13" ht="15">
      <c r="E2305" s="1645"/>
      <c r="F2305" s="1707"/>
      <c r="G2305" s="1707"/>
      <c r="H2305" s="1707"/>
      <c r="I2305" s="1707"/>
      <c r="J2305" s="1707"/>
      <c r="K2305" s="1707"/>
      <c r="L2305" s="1704"/>
      <c r="M2305" s="1704"/>
    </row>
    <row r="2306" spans="5:13" ht="15">
      <c r="E2306" s="1645"/>
      <c r="F2306" s="1707"/>
      <c r="G2306" s="1707"/>
      <c r="H2306" s="1707"/>
      <c r="I2306" s="1707"/>
      <c r="J2306" s="1707"/>
      <c r="K2306" s="1707"/>
      <c r="L2306" s="1704"/>
      <c r="M2306" s="1704"/>
    </row>
    <row r="2307" spans="5:13" ht="15">
      <c r="E2307" s="1645"/>
      <c r="F2307" s="1707"/>
      <c r="G2307" s="1707"/>
      <c r="H2307" s="1707"/>
      <c r="I2307" s="1707"/>
      <c r="J2307" s="1707"/>
      <c r="K2307" s="1707"/>
      <c r="L2307" s="1704"/>
      <c r="M2307" s="1704"/>
    </row>
    <row r="2308" spans="5:13" ht="15">
      <c r="E2308" s="1645"/>
      <c r="F2308" s="1707"/>
      <c r="G2308" s="1707"/>
      <c r="H2308" s="1707"/>
      <c r="I2308" s="1707"/>
      <c r="J2308" s="1707"/>
      <c r="K2308" s="1707"/>
      <c r="L2308" s="1704"/>
      <c r="M2308" s="1704"/>
    </row>
    <row r="2309" spans="5:13" ht="15">
      <c r="E2309" s="1645"/>
      <c r="F2309" s="1707"/>
      <c r="G2309" s="1707"/>
      <c r="H2309" s="1707"/>
      <c r="I2309" s="1707"/>
      <c r="J2309" s="1707"/>
      <c r="K2309" s="1707"/>
      <c r="L2309" s="1704"/>
      <c r="M2309" s="1704"/>
    </row>
    <row r="2310" spans="5:13" ht="15">
      <c r="E2310" s="1645"/>
      <c r="F2310" s="1707"/>
      <c r="G2310" s="1707"/>
      <c r="H2310" s="1707"/>
      <c r="I2310" s="1707"/>
      <c r="J2310" s="1707"/>
      <c r="K2310" s="1707"/>
      <c r="L2310" s="1704"/>
      <c r="M2310" s="1704"/>
    </row>
    <row r="2311" spans="5:13" ht="15">
      <c r="E2311" s="1645"/>
      <c r="F2311" s="1707"/>
      <c r="G2311" s="1707"/>
      <c r="H2311" s="1707"/>
      <c r="I2311" s="1707"/>
      <c r="J2311" s="1707"/>
      <c r="K2311" s="1707"/>
      <c r="L2311" s="1704"/>
      <c r="M2311" s="1704"/>
    </row>
    <row r="2312" spans="5:13" ht="15">
      <c r="E2312" s="1645"/>
      <c r="F2312" s="1707"/>
      <c r="G2312" s="1707"/>
      <c r="H2312" s="1707"/>
      <c r="I2312" s="1707"/>
      <c r="J2312" s="1707"/>
      <c r="K2312" s="1707"/>
      <c r="L2312" s="1704"/>
      <c r="M2312" s="1704"/>
    </row>
    <row r="2313" spans="5:13" ht="15">
      <c r="E2313" s="1645"/>
      <c r="F2313" s="1707"/>
      <c r="G2313" s="1707"/>
      <c r="H2313" s="1707"/>
      <c r="I2313" s="1707"/>
      <c r="J2313" s="1707"/>
      <c r="K2313" s="1707"/>
      <c r="L2313" s="1704"/>
      <c r="M2313" s="1704"/>
    </row>
    <row r="2314" spans="5:13" ht="15">
      <c r="E2314" s="1645"/>
      <c r="F2314" s="1707"/>
      <c r="G2314" s="1707"/>
      <c r="H2314" s="1707"/>
      <c r="I2314" s="1707"/>
      <c r="J2314" s="1707"/>
      <c r="K2314" s="1707"/>
      <c r="L2314" s="1704"/>
      <c r="M2314" s="1704"/>
    </row>
    <row r="2315" spans="5:13" ht="15">
      <c r="E2315" s="1645"/>
      <c r="F2315" s="1707"/>
      <c r="G2315" s="1707"/>
      <c r="H2315" s="1707"/>
      <c r="I2315" s="1707"/>
      <c r="J2315" s="1707"/>
      <c r="K2315" s="1707"/>
      <c r="L2315" s="1704"/>
      <c r="M2315" s="1704"/>
    </row>
    <row r="2316" spans="5:13" ht="15">
      <c r="E2316" s="1645"/>
      <c r="F2316" s="1707"/>
      <c r="G2316" s="1707"/>
      <c r="H2316" s="1707"/>
      <c r="I2316" s="1707"/>
      <c r="J2316" s="1707"/>
      <c r="K2316" s="1707"/>
      <c r="L2316" s="1704"/>
      <c r="M2316" s="1704"/>
    </row>
    <row r="2317" spans="5:13" ht="15">
      <c r="E2317" s="1645"/>
      <c r="F2317" s="1707"/>
      <c r="G2317" s="1707"/>
      <c r="H2317" s="1707"/>
      <c r="I2317" s="1707"/>
      <c r="J2317" s="1707"/>
      <c r="K2317" s="1707"/>
      <c r="L2317" s="1704"/>
      <c r="M2317" s="1704"/>
    </row>
    <row r="2318" spans="5:13" ht="15">
      <c r="E2318" s="1645"/>
      <c r="F2318" s="1707"/>
      <c r="G2318" s="1707"/>
      <c r="H2318" s="1707"/>
      <c r="I2318" s="1707"/>
      <c r="J2318" s="1707"/>
      <c r="K2318" s="1707"/>
      <c r="L2318" s="1704"/>
      <c r="M2318" s="1704"/>
    </row>
    <row r="2319" spans="5:13" ht="15">
      <c r="E2319" s="1645"/>
      <c r="F2319" s="1707"/>
      <c r="G2319" s="1707"/>
      <c r="H2319" s="1707"/>
      <c r="I2319" s="1707"/>
      <c r="J2319" s="1707"/>
      <c r="K2319" s="1707"/>
      <c r="L2319" s="1704"/>
      <c r="M2319" s="1704"/>
    </row>
    <row r="2320" spans="5:13" ht="15">
      <c r="E2320" s="1645"/>
      <c r="F2320" s="1707"/>
      <c r="G2320" s="1707"/>
      <c r="H2320" s="1707"/>
      <c r="I2320" s="1707"/>
      <c r="J2320" s="1707"/>
      <c r="K2320" s="1707"/>
      <c r="L2320" s="1704"/>
      <c r="M2320" s="1704"/>
    </row>
    <row r="2321" spans="5:13" ht="15">
      <c r="E2321" s="1645"/>
      <c r="F2321" s="1707"/>
      <c r="G2321" s="1707"/>
      <c r="H2321" s="1707"/>
      <c r="I2321" s="1707"/>
      <c r="J2321" s="1707"/>
      <c r="K2321" s="1707"/>
      <c r="L2321" s="1704"/>
      <c r="M2321" s="1704"/>
    </row>
    <row r="2322" spans="5:13" ht="15">
      <c r="E2322" s="1645"/>
      <c r="F2322" s="1707"/>
      <c r="G2322" s="1707"/>
      <c r="H2322" s="1707"/>
      <c r="I2322" s="1707"/>
      <c r="J2322" s="1707"/>
      <c r="K2322" s="1707"/>
      <c r="L2322" s="1704"/>
      <c r="M2322" s="1704"/>
    </row>
    <row r="2323" spans="5:13" ht="15">
      <c r="E2323" s="1645"/>
      <c r="F2323" s="1707"/>
      <c r="G2323" s="1707"/>
      <c r="H2323" s="1707"/>
      <c r="I2323" s="1707"/>
      <c r="J2323" s="1707"/>
      <c r="K2323" s="1707"/>
      <c r="L2323" s="1704"/>
      <c r="M2323" s="1704"/>
    </row>
    <row r="2324" spans="5:13" ht="15">
      <c r="E2324" s="1645"/>
      <c r="F2324" s="1707"/>
      <c r="G2324" s="1707"/>
      <c r="H2324" s="1707"/>
      <c r="I2324" s="1707"/>
      <c r="J2324" s="1707"/>
      <c r="K2324" s="1707"/>
      <c r="L2324" s="1704"/>
      <c r="M2324" s="1704"/>
    </row>
    <row r="2325" spans="5:13" ht="15">
      <c r="E2325" s="1645"/>
      <c r="F2325" s="1707"/>
      <c r="G2325" s="1707"/>
      <c r="H2325" s="1707"/>
      <c r="I2325" s="1707"/>
      <c r="J2325" s="1707"/>
      <c r="K2325" s="1707"/>
      <c r="L2325" s="1704"/>
      <c r="M2325" s="1704"/>
    </row>
    <row r="2326" spans="5:13" ht="15">
      <c r="E2326" s="1645"/>
      <c r="F2326" s="1707"/>
      <c r="G2326" s="1707"/>
      <c r="H2326" s="1707"/>
      <c r="I2326" s="1707"/>
      <c r="J2326" s="1707"/>
      <c r="K2326" s="1707"/>
      <c r="L2326" s="1704"/>
      <c r="M2326" s="1704"/>
    </row>
    <row r="2327" spans="5:13" ht="15">
      <c r="E2327" s="1645"/>
      <c r="F2327" s="1707"/>
      <c r="G2327" s="1707"/>
      <c r="H2327" s="1707"/>
      <c r="I2327" s="1707"/>
      <c r="J2327" s="1707"/>
      <c r="K2327" s="1707"/>
      <c r="L2327" s="1704"/>
      <c r="M2327" s="1704"/>
    </row>
    <row r="2328" spans="5:13" ht="15">
      <c r="E2328" s="1645"/>
      <c r="F2328" s="1707"/>
      <c r="G2328" s="1707"/>
      <c r="H2328" s="1707"/>
      <c r="I2328" s="1707"/>
      <c r="J2328" s="1707"/>
      <c r="K2328" s="1707"/>
      <c r="L2328" s="1704"/>
      <c r="M2328" s="1704"/>
    </row>
    <row r="2329" spans="5:13" ht="15">
      <c r="E2329" s="1645"/>
      <c r="F2329" s="1707"/>
      <c r="G2329" s="1707"/>
      <c r="H2329" s="1707"/>
      <c r="I2329" s="1707"/>
      <c r="J2329" s="1707"/>
      <c r="K2329" s="1707"/>
      <c r="L2329" s="1704"/>
      <c r="M2329" s="1704"/>
    </row>
    <row r="2330" spans="5:13" ht="15">
      <c r="E2330" s="1645"/>
      <c r="F2330" s="1707"/>
      <c r="G2330" s="1707"/>
      <c r="H2330" s="1707"/>
      <c r="I2330" s="1707"/>
      <c r="J2330" s="1707"/>
      <c r="K2330" s="1707"/>
      <c r="L2330" s="1704"/>
      <c r="M2330" s="1704"/>
    </row>
    <row r="2331" spans="5:13" ht="15">
      <c r="E2331" s="1645"/>
      <c r="F2331" s="1707"/>
      <c r="G2331" s="1707"/>
      <c r="H2331" s="1707"/>
      <c r="I2331" s="1707"/>
      <c r="J2331" s="1707"/>
      <c r="K2331" s="1707"/>
      <c r="L2331" s="1704"/>
      <c r="M2331" s="1704"/>
    </row>
    <row r="2332" spans="5:13" ht="15">
      <c r="E2332" s="1645"/>
      <c r="F2332" s="1707"/>
      <c r="G2332" s="1707"/>
      <c r="H2332" s="1707"/>
      <c r="I2332" s="1707"/>
      <c r="J2332" s="1707"/>
      <c r="K2332" s="1707"/>
      <c r="L2332" s="1704"/>
      <c r="M2332" s="1704"/>
    </row>
    <row r="2333" spans="5:13" ht="15">
      <c r="E2333" s="1645"/>
      <c r="F2333" s="1707"/>
      <c r="G2333" s="1707"/>
      <c r="H2333" s="1707"/>
      <c r="I2333" s="1707"/>
      <c r="J2333" s="1707"/>
      <c r="K2333" s="1707"/>
      <c r="L2333" s="1704"/>
      <c r="M2333" s="1704"/>
    </row>
    <row r="2334" spans="5:13" ht="15">
      <c r="E2334" s="1645"/>
      <c r="F2334" s="1707"/>
      <c r="G2334" s="1707"/>
      <c r="H2334" s="1707"/>
      <c r="I2334" s="1707"/>
      <c r="J2334" s="1707"/>
      <c r="K2334" s="1707"/>
      <c r="L2334" s="1704"/>
      <c r="M2334" s="1704"/>
    </row>
    <row r="2335" spans="5:13" ht="15">
      <c r="E2335" s="1645"/>
      <c r="F2335" s="1707"/>
      <c r="G2335" s="1707"/>
      <c r="H2335" s="1707"/>
      <c r="I2335" s="1707"/>
      <c r="J2335" s="1707"/>
      <c r="K2335" s="1707"/>
      <c r="L2335" s="1704"/>
      <c r="M2335" s="1704"/>
    </row>
    <row r="2336" spans="5:13" ht="15">
      <c r="E2336" s="1645"/>
      <c r="F2336" s="1707"/>
      <c r="G2336" s="1707"/>
      <c r="H2336" s="1707"/>
      <c r="I2336" s="1707"/>
      <c r="J2336" s="1707"/>
      <c r="K2336" s="1707"/>
      <c r="L2336" s="1704"/>
      <c r="M2336" s="1704"/>
    </row>
    <row r="2337" spans="5:13" ht="15">
      <c r="E2337" s="1645"/>
      <c r="F2337" s="1707"/>
      <c r="G2337" s="1707"/>
      <c r="H2337" s="1707"/>
      <c r="I2337" s="1707"/>
      <c r="J2337" s="1707"/>
      <c r="K2337" s="1707"/>
      <c r="L2337" s="1704"/>
      <c r="M2337" s="1704"/>
    </row>
    <row r="2338" spans="5:13" ht="15">
      <c r="E2338" s="1645"/>
      <c r="F2338" s="1707"/>
      <c r="G2338" s="1707"/>
      <c r="H2338" s="1707"/>
      <c r="I2338" s="1707"/>
      <c r="J2338" s="1707"/>
      <c r="K2338" s="1707"/>
      <c r="L2338" s="1704"/>
      <c r="M2338" s="1704"/>
    </row>
    <row r="2339" spans="5:13" ht="15">
      <c r="E2339" s="1645"/>
      <c r="F2339" s="1707"/>
      <c r="G2339" s="1707"/>
      <c r="H2339" s="1707"/>
      <c r="I2339" s="1707"/>
      <c r="J2339" s="1707"/>
      <c r="K2339" s="1707"/>
      <c r="L2339" s="1704"/>
      <c r="M2339" s="1704"/>
    </row>
    <row r="2340" spans="5:13" ht="15">
      <c r="E2340" s="1645"/>
      <c r="F2340" s="1707"/>
      <c r="G2340" s="1707"/>
      <c r="H2340" s="1707"/>
      <c r="I2340" s="1707"/>
      <c r="J2340" s="1707"/>
      <c r="K2340" s="1707"/>
      <c r="L2340" s="1704"/>
      <c r="M2340" s="1704"/>
    </row>
    <row r="2341" spans="5:13" ht="15">
      <c r="E2341" s="1645"/>
      <c r="F2341" s="1707"/>
      <c r="G2341" s="1707"/>
      <c r="H2341" s="1707"/>
      <c r="I2341" s="1707"/>
      <c r="J2341" s="1707"/>
      <c r="K2341" s="1707"/>
      <c r="L2341" s="1704"/>
      <c r="M2341" s="1704"/>
    </row>
    <row r="2342" spans="5:13" ht="15">
      <c r="E2342" s="1645"/>
      <c r="F2342" s="1707"/>
      <c r="G2342" s="1707"/>
      <c r="H2342" s="1707"/>
      <c r="I2342" s="1707"/>
      <c r="J2342" s="1707"/>
      <c r="K2342" s="1707"/>
      <c r="L2342" s="1704"/>
      <c r="M2342" s="1704"/>
    </row>
    <row r="2343" spans="5:13" ht="15">
      <c r="E2343" s="1645"/>
      <c r="F2343" s="1707"/>
      <c r="G2343" s="1707"/>
      <c r="H2343" s="1707"/>
      <c r="I2343" s="1707"/>
      <c r="J2343" s="1707"/>
      <c r="K2343" s="1707"/>
      <c r="L2343" s="1704"/>
      <c r="M2343" s="1704"/>
    </row>
    <row r="2344" spans="5:13" ht="15">
      <c r="E2344" s="1645"/>
      <c r="F2344" s="1707"/>
      <c r="G2344" s="1707"/>
      <c r="H2344" s="1707"/>
      <c r="I2344" s="1707"/>
      <c r="J2344" s="1707"/>
      <c r="K2344" s="1707"/>
      <c r="L2344" s="1704"/>
      <c r="M2344" s="1704"/>
    </row>
    <row r="2345" spans="5:13" ht="15">
      <c r="E2345" s="1645"/>
      <c r="F2345" s="1707"/>
      <c r="G2345" s="1707"/>
      <c r="H2345" s="1707"/>
      <c r="I2345" s="1707"/>
      <c r="J2345" s="1707"/>
      <c r="K2345" s="1707"/>
      <c r="L2345" s="1704"/>
      <c r="M2345" s="1704"/>
    </row>
    <row r="2346" spans="5:13" ht="15">
      <c r="E2346" s="1645"/>
      <c r="F2346" s="1707"/>
      <c r="G2346" s="1707"/>
      <c r="H2346" s="1707"/>
      <c r="I2346" s="1707"/>
      <c r="J2346" s="1707"/>
      <c r="K2346" s="1707"/>
      <c r="L2346" s="1704"/>
      <c r="M2346" s="1704"/>
    </row>
    <row r="2347" spans="5:13" ht="15">
      <c r="E2347" s="1645"/>
      <c r="F2347" s="1707"/>
      <c r="G2347" s="1707"/>
      <c r="H2347" s="1707"/>
      <c r="I2347" s="1707"/>
      <c r="J2347" s="1707"/>
      <c r="K2347" s="1707"/>
      <c r="L2347" s="1704"/>
      <c r="M2347" s="1704"/>
    </row>
    <row r="2348" spans="5:13" ht="15">
      <c r="E2348" s="1645"/>
      <c r="F2348" s="1707"/>
      <c r="G2348" s="1707"/>
      <c r="H2348" s="1707"/>
      <c r="I2348" s="1707"/>
      <c r="J2348" s="1707"/>
      <c r="K2348" s="1707"/>
      <c r="L2348" s="1704"/>
      <c r="M2348" s="1704"/>
    </row>
    <row r="2349" spans="5:13" ht="15">
      <c r="E2349" s="1645"/>
      <c r="F2349" s="1707"/>
      <c r="G2349" s="1707"/>
      <c r="H2349" s="1707"/>
      <c r="I2349" s="1707"/>
      <c r="J2349" s="1707"/>
      <c r="K2349" s="1707"/>
      <c r="L2349" s="1704"/>
      <c r="M2349" s="1704"/>
    </row>
    <row r="2350" spans="5:13" ht="15">
      <c r="E2350" s="1645"/>
      <c r="F2350" s="1707"/>
      <c r="G2350" s="1707"/>
      <c r="H2350" s="1707"/>
      <c r="I2350" s="1707"/>
      <c r="J2350" s="1707"/>
      <c r="K2350" s="1707"/>
      <c r="L2350" s="1704"/>
      <c r="M2350" s="1704"/>
    </row>
    <row r="2351" spans="5:13" ht="15">
      <c r="E2351" s="1645"/>
      <c r="F2351" s="1707"/>
      <c r="G2351" s="1707"/>
      <c r="H2351" s="1707"/>
      <c r="I2351" s="1707"/>
      <c r="J2351" s="1707"/>
      <c r="K2351" s="1707"/>
      <c r="L2351" s="1704"/>
      <c r="M2351" s="1704"/>
    </row>
    <row r="2352" spans="5:13" ht="15">
      <c r="E2352" s="1645"/>
      <c r="F2352" s="1707"/>
      <c r="G2352" s="1707"/>
      <c r="H2352" s="1707"/>
      <c r="I2352" s="1707"/>
      <c r="J2352" s="1707"/>
      <c r="K2352" s="1707"/>
      <c r="L2352" s="1704"/>
      <c r="M2352" s="1704"/>
    </row>
    <row r="2353" spans="5:13" ht="15">
      <c r="E2353" s="1645"/>
      <c r="F2353" s="1707"/>
      <c r="G2353" s="1707"/>
      <c r="H2353" s="1707"/>
      <c r="I2353" s="1707"/>
      <c r="J2353" s="1707"/>
      <c r="K2353" s="1707"/>
      <c r="L2353" s="1704"/>
      <c r="M2353" s="1704"/>
    </row>
    <row r="2354" spans="5:13" ht="15">
      <c r="E2354" s="1645"/>
      <c r="F2354" s="1707"/>
      <c r="G2354" s="1707"/>
      <c r="H2354" s="1707"/>
      <c r="I2354" s="1707"/>
      <c r="J2354" s="1707"/>
      <c r="K2354" s="1707"/>
      <c r="L2354" s="1704"/>
      <c r="M2354" s="1704"/>
    </row>
    <row r="2355" spans="5:13" ht="15">
      <c r="E2355" s="1645"/>
      <c r="F2355" s="1707"/>
      <c r="G2355" s="1707"/>
      <c r="H2355" s="1707"/>
      <c r="I2355" s="1707"/>
      <c r="J2355" s="1707"/>
      <c r="K2355" s="1707"/>
      <c r="L2355" s="1704"/>
      <c r="M2355" s="1704"/>
    </row>
    <row r="2356" spans="5:13" ht="15">
      <c r="E2356" s="1645"/>
      <c r="F2356" s="1707"/>
      <c r="G2356" s="1707"/>
      <c r="H2356" s="1707"/>
      <c r="I2356" s="1707"/>
      <c r="J2356" s="1707"/>
      <c r="K2356" s="1707"/>
      <c r="L2356" s="1704"/>
      <c r="M2356" s="1704"/>
    </row>
    <row r="2357" spans="5:13" ht="15">
      <c r="E2357" s="1645"/>
      <c r="F2357" s="1707"/>
      <c r="G2357" s="1707"/>
      <c r="H2357" s="1707"/>
      <c r="I2357" s="1707"/>
      <c r="J2357" s="1707"/>
      <c r="K2357" s="1707"/>
      <c r="L2357" s="1704"/>
      <c r="M2357" s="1704"/>
    </row>
    <row r="2358" spans="5:13" ht="15">
      <c r="E2358" s="1645"/>
      <c r="F2358" s="1707"/>
      <c r="G2358" s="1707"/>
      <c r="H2358" s="1707"/>
      <c r="I2358" s="1707"/>
      <c r="J2358" s="1707"/>
      <c r="K2358" s="1707"/>
      <c r="L2358" s="1704"/>
      <c r="M2358" s="1704"/>
    </row>
    <row r="2359" spans="5:13" ht="15">
      <c r="E2359" s="1645"/>
      <c r="F2359" s="1707"/>
      <c r="G2359" s="1707"/>
      <c r="H2359" s="1707"/>
      <c r="I2359" s="1707"/>
      <c r="J2359" s="1707"/>
      <c r="K2359" s="1707"/>
      <c r="L2359" s="1704"/>
      <c r="M2359" s="1704"/>
    </row>
    <row r="2360" spans="5:13" ht="15">
      <c r="E2360" s="1645"/>
      <c r="F2360" s="1707"/>
      <c r="G2360" s="1707"/>
      <c r="H2360" s="1707"/>
      <c r="I2360" s="1707"/>
      <c r="J2360" s="1707"/>
      <c r="K2360" s="1707"/>
      <c r="L2360" s="1704"/>
      <c r="M2360" s="1704"/>
    </row>
    <row r="2361" spans="5:13" ht="15">
      <c r="E2361" s="1645"/>
      <c r="F2361" s="1707"/>
      <c r="G2361" s="1707"/>
      <c r="H2361" s="1707"/>
      <c r="I2361" s="1707"/>
      <c r="J2361" s="1707"/>
      <c r="K2361" s="1707"/>
      <c r="L2361" s="1704"/>
      <c r="M2361" s="1704"/>
    </row>
    <row r="2362" spans="5:13" ht="15">
      <c r="E2362" s="1645"/>
      <c r="F2362" s="1707"/>
      <c r="G2362" s="1707"/>
      <c r="H2362" s="1707"/>
      <c r="I2362" s="1707"/>
      <c r="J2362" s="1707"/>
      <c r="K2362" s="1707"/>
      <c r="L2362" s="1704"/>
      <c r="M2362" s="1704"/>
    </row>
    <row r="2363" spans="5:13" ht="15">
      <c r="E2363" s="1645"/>
      <c r="F2363" s="1707"/>
      <c r="G2363" s="1707"/>
      <c r="H2363" s="1707"/>
      <c r="I2363" s="1707"/>
      <c r="J2363" s="1707"/>
      <c r="K2363" s="1707"/>
      <c r="L2363" s="1704"/>
      <c r="M2363" s="1704"/>
    </row>
    <row r="2364" spans="5:13" ht="15">
      <c r="E2364" s="1645"/>
      <c r="F2364" s="1707"/>
      <c r="G2364" s="1707"/>
      <c r="H2364" s="1707"/>
      <c r="I2364" s="1707"/>
      <c r="J2364" s="1707"/>
      <c r="K2364" s="1707"/>
      <c r="L2364" s="1704"/>
      <c r="M2364" s="1704"/>
    </row>
    <row r="2365" spans="5:13" ht="15">
      <c r="E2365" s="1645"/>
      <c r="F2365" s="1707"/>
      <c r="G2365" s="1707"/>
      <c r="H2365" s="1707"/>
      <c r="I2365" s="1707"/>
      <c r="J2365" s="1707"/>
      <c r="K2365" s="1707"/>
      <c r="L2365" s="1704"/>
      <c r="M2365" s="1704"/>
    </row>
    <row r="2366" spans="5:13" ht="15">
      <c r="E2366" s="1645"/>
      <c r="F2366" s="1707"/>
      <c r="G2366" s="1707"/>
      <c r="H2366" s="1707"/>
      <c r="I2366" s="1707"/>
      <c r="J2366" s="1707"/>
      <c r="K2366" s="1707"/>
      <c r="L2366" s="1704"/>
      <c r="M2366" s="1704"/>
    </row>
    <row r="2367" spans="5:13" ht="15">
      <c r="E2367" s="1645"/>
      <c r="F2367" s="1707"/>
      <c r="G2367" s="1707"/>
      <c r="H2367" s="1707"/>
      <c r="I2367" s="1707"/>
      <c r="J2367" s="1707"/>
      <c r="K2367" s="1707"/>
      <c r="L2367" s="1704"/>
      <c r="M2367" s="1704"/>
    </row>
    <row r="2368" spans="5:13" ht="15">
      <c r="E2368" s="1645"/>
      <c r="F2368" s="1707"/>
      <c r="G2368" s="1707"/>
      <c r="H2368" s="1707"/>
      <c r="I2368" s="1707"/>
      <c r="J2368" s="1707"/>
      <c r="K2368" s="1707"/>
      <c r="L2368" s="1704"/>
      <c r="M2368" s="1704"/>
    </row>
    <row r="2369" spans="5:13" ht="15">
      <c r="E2369" s="1645"/>
      <c r="F2369" s="1707"/>
      <c r="G2369" s="1707"/>
      <c r="H2369" s="1707"/>
      <c r="I2369" s="1707"/>
      <c r="J2369" s="1707"/>
      <c r="K2369" s="1707"/>
      <c r="L2369" s="1704"/>
      <c r="M2369" s="1704"/>
    </row>
    <row r="2370" spans="5:13" ht="15">
      <c r="E2370" s="1645"/>
      <c r="F2370" s="1707"/>
      <c r="G2370" s="1707"/>
      <c r="H2370" s="1707"/>
      <c r="I2370" s="1707"/>
      <c r="J2370" s="1707"/>
      <c r="K2370" s="1707"/>
      <c r="L2370" s="1704"/>
      <c r="M2370" s="1704"/>
    </row>
    <row r="2371" spans="5:13" ht="15">
      <c r="E2371" s="1645"/>
      <c r="F2371" s="1707"/>
      <c r="G2371" s="1707"/>
      <c r="H2371" s="1707"/>
      <c r="I2371" s="1707"/>
      <c r="J2371" s="1707"/>
      <c r="K2371" s="1707"/>
      <c r="L2371" s="1704"/>
      <c r="M2371" s="1704"/>
    </row>
    <row r="2372" spans="5:13" ht="15">
      <c r="E2372" s="1645"/>
      <c r="F2372" s="1707"/>
      <c r="G2372" s="1707"/>
      <c r="H2372" s="1707"/>
      <c r="I2372" s="1707"/>
      <c r="J2372" s="1707"/>
      <c r="K2372" s="1707"/>
      <c r="L2372" s="1704"/>
      <c r="M2372" s="1704"/>
    </row>
    <row r="2373" spans="5:13" ht="15">
      <c r="E2373" s="1645"/>
      <c r="F2373" s="1707"/>
      <c r="G2373" s="1707"/>
      <c r="H2373" s="1707"/>
      <c r="I2373" s="1707"/>
      <c r="J2373" s="1707"/>
      <c r="K2373" s="1707"/>
      <c r="L2373" s="1704"/>
      <c r="M2373" s="1704"/>
    </row>
    <row r="2374" spans="5:13" ht="15">
      <c r="E2374" s="1645"/>
      <c r="F2374" s="1707"/>
      <c r="G2374" s="1707"/>
      <c r="H2374" s="1707"/>
      <c r="I2374" s="1707"/>
      <c r="J2374" s="1707"/>
      <c r="K2374" s="1707"/>
      <c r="L2374" s="1704"/>
      <c r="M2374" s="1704"/>
    </row>
    <row r="2375" spans="5:13" ht="15">
      <c r="E2375" s="1645"/>
      <c r="F2375" s="1707"/>
      <c r="G2375" s="1707"/>
      <c r="H2375" s="1707"/>
      <c r="I2375" s="1707"/>
      <c r="J2375" s="1707"/>
      <c r="K2375" s="1707"/>
      <c r="L2375" s="1704"/>
      <c r="M2375" s="1704"/>
    </row>
    <row r="2376" spans="5:13" ht="15">
      <c r="E2376" s="1645"/>
      <c r="F2376" s="1707"/>
      <c r="G2376" s="1707"/>
      <c r="H2376" s="1707"/>
      <c r="I2376" s="1707"/>
      <c r="J2376" s="1707"/>
      <c r="K2376" s="1707"/>
      <c r="L2376" s="1704"/>
      <c r="M2376" s="1704"/>
    </row>
    <row r="2377" spans="5:13" ht="15">
      <c r="E2377" s="1645"/>
      <c r="F2377" s="1707"/>
      <c r="G2377" s="1707"/>
      <c r="H2377" s="1707"/>
      <c r="I2377" s="1707"/>
      <c r="J2377" s="1707"/>
      <c r="K2377" s="1707"/>
      <c r="L2377" s="1704"/>
      <c r="M2377" s="1704"/>
    </row>
    <row r="2378" spans="5:13" ht="15">
      <c r="E2378" s="1645"/>
      <c r="F2378" s="1707"/>
      <c r="G2378" s="1707"/>
      <c r="H2378" s="1707"/>
      <c r="I2378" s="1707"/>
      <c r="J2378" s="1707"/>
      <c r="K2378" s="1707"/>
      <c r="L2378" s="1704"/>
      <c r="M2378" s="1704"/>
    </row>
    <row r="2379" spans="5:13" ht="15">
      <c r="E2379" s="1645"/>
      <c r="F2379" s="1707"/>
      <c r="G2379" s="1707"/>
      <c r="H2379" s="1707"/>
      <c r="I2379" s="1707"/>
      <c r="J2379" s="1707"/>
      <c r="K2379" s="1707"/>
      <c r="L2379" s="1704"/>
      <c r="M2379" s="1704"/>
    </row>
    <row r="2380" spans="5:13" ht="15">
      <c r="E2380" s="1645"/>
      <c r="F2380" s="1707"/>
      <c r="G2380" s="1707"/>
      <c r="H2380" s="1707"/>
      <c r="I2380" s="1707"/>
      <c r="J2380" s="1707"/>
      <c r="K2380" s="1707"/>
      <c r="L2380" s="1704"/>
      <c r="M2380" s="1704"/>
    </row>
    <row r="2381" spans="5:13" ht="15">
      <c r="E2381" s="1645"/>
      <c r="F2381" s="1707"/>
      <c r="G2381" s="1707"/>
      <c r="H2381" s="1707"/>
      <c r="I2381" s="1707"/>
      <c r="J2381" s="1707"/>
      <c r="K2381" s="1707"/>
      <c r="L2381" s="1704"/>
      <c r="M2381" s="1704"/>
    </row>
    <row r="2382" spans="5:13" ht="15">
      <c r="E2382" s="1645"/>
      <c r="F2382" s="1707"/>
      <c r="G2382" s="1707"/>
      <c r="H2382" s="1707"/>
      <c r="I2382" s="1707"/>
      <c r="J2382" s="1707"/>
      <c r="K2382" s="1707"/>
      <c r="L2382" s="1704"/>
      <c r="M2382" s="1704"/>
    </row>
    <row r="2383" spans="5:13" ht="15">
      <c r="E2383" s="1645"/>
      <c r="F2383" s="1707"/>
      <c r="G2383" s="1707"/>
      <c r="H2383" s="1707"/>
      <c r="I2383" s="1707"/>
      <c r="J2383" s="1707"/>
      <c r="K2383" s="1707"/>
      <c r="L2383" s="1704"/>
      <c r="M2383" s="1704"/>
    </row>
    <row r="2384" spans="5:13" ht="15">
      <c r="E2384" s="1645"/>
      <c r="F2384" s="1707"/>
      <c r="G2384" s="1707"/>
      <c r="H2384" s="1707"/>
      <c r="I2384" s="1707"/>
      <c r="J2384" s="1707"/>
      <c r="K2384" s="1707"/>
      <c r="L2384" s="1704"/>
      <c r="M2384" s="1704"/>
    </row>
    <row r="2385" spans="5:13" ht="15">
      <c r="E2385" s="1645"/>
      <c r="F2385" s="1707"/>
      <c r="G2385" s="1707"/>
      <c r="H2385" s="1707"/>
      <c r="I2385" s="1707"/>
      <c r="J2385" s="1707"/>
      <c r="K2385" s="1707"/>
      <c r="L2385" s="1704"/>
      <c r="M2385" s="1704"/>
    </row>
    <row r="2386" spans="5:13" ht="15">
      <c r="E2386" s="1645"/>
      <c r="F2386" s="1707"/>
      <c r="G2386" s="1707"/>
      <c r="H2386" s="1707"/>
      <c r="I2386" s="1707"/>
      <c r="J2386" s="1707"/>
      <c r="K2386" s="1707"/>
      <c r="L2386" s="1704"/>
      <c r="M2386" s="1704"/>
    </row>
    <row r="2387" spans="5:13" ht="15">
      <c r="E2387" s="1645"/>
      <c r="F2387" s="1707"/>
      <c r="G2387" s="1707"/>
      <c r="H2387" s="1707"/>
      <c r="I2387" s="1707"/>
      <c r="J2387" s="1707"/>
      <c r="K2387" s="1707"/>
      <c r="L2387" s="1704"/>
      <c r="M2387" s="1704"/>
    </row>
    <row r="2388" spans="5:13" ht="15">
      <c r="E2388" s="1645"/>
      <c r="F2388" s="1707"/>
      <c r="G2388" s="1707"/>
      <c r="H2388" s="1707"/>
      <c r="I2388" s="1707"/>
      <c r="J2388" s="1707"/>
      <c r="K2388" s="1707"/>
      <c r="L2388" s="1704"/>
      <c r="M2388" s="1704"/>
    </row>
    <row r="2389" spans="5:13" ht="15">
      <c r="E2389" s="1645"/>
      <c r="F2389" s="1707"/>
      <c r="G2389" s="1707"/>
      <c r="H2389" s="1707"/>
      <c r="I2389" s="1707"/>
      <c r="J2389" s="1707"/>
      <c r="K2389" s="1707"/>
      <c r="L2389" s="1704"/>
      <c r="M2389" s="1704"/>
    </row>
    <row r="2390" spans="5:13" ht="15">
      <c r="E2390" s="1645"/>
      <c r="F2390" s="1707"/>
      <c r="G2390" s="1707"/>
      <c r="H2390" s="1707"/>
      <c r="I2390" s="1707"/>
      <c r="J2390" s="1707"/>
      <c r="K2390" s="1707"/>
      <c r="L2390" s="1704"/>
      <c r="M2390" s="1704"/>
    </row>
    <row r="2391" spans="5:13" ht="15">
      <c r="E2391" s="1645"/>
      <c r="F2391" s="1707"/>
      <c r="G2391" s="1707"/>
      <c r="H2391" s="1707"/>
      <c r="I2391" s="1707"/>
      <c r="J2391" s="1707"/>
      <c r="K2391" s="1707"/>
      <c r="L2391" s="1704"/>
      <c r="M2391" s="1704"/>
    </row>
    <row r="2392" spans="5:13" ht="15">
      <c r="E2392" s="1645"/>
      <c r="F2392" s="1707"/>
      <c r="G2392" s="1707"/>
      <c r="H2392" s="1707"/>
      <c r="I2392" s="1707"/>
      <c r="J2392" s="1707"/>
      <c r="K2392" s="1707"/>
      <c r="L2392" s="1704"/>
      <c r="M2392" s="1704"/>
    </row>
    <row r="2393" spans="5:13" ht="15">
      <c r="E2393" s="1645"/>
      <c r="F2393" s="1707"/>
      <c r="G2393" s="1707"/>
      <c r="H2393" s="1707"/>
      <c r="I2393" s="1707"/>
      <c r="J2393" s="1707"/>
      <c r="K2393" s="1707"/>
      <c r="L2393" s="1704"/>
      <c r="M2393" s="1704"/>
    </row>
    <row r="2394" spans="5:13" ht="15">
      <c r="E2394" s="1645"/>
      <c r="F2394" s="1707"/>
      <c r="G2394" s="1707"/>
      <c r="H2394" s="1707"/>
      <c r="I2394" s="1707"/>
      <c r="J2394" s="1707"/>
      <c r="K2394" s="1707"/>
      <c r="L2394" s="1704"/>
      <c r="M2394" s="1704"/>
    </row>
    <row r="2395" spans="5:13" ht="15">
      <c r="E2395" s="1645"/>
      <c r="F2395" s="1707"/>
      <c r="G2395" s="1707"/>
      <c r="H2395" s="1707"/>
      <c r="I2395" s="1707"/>
      <c r="J2395" s="1707"/>
      <c r="K2395" s="1707"/>
      <c r="L2395" s="1704"/>
      <c r="M2395" s="1704"/>
    </row>
    <row r="2396" spans="5:13" ht="15">
      <c r="E2396" s="1645"/>
      <c r="F2396" s="1707"/>
      <c r="G2396" s="1707"/>
      <c r="H2396" s="1707"/>
      <c r="I2396" s="1707"/>
      <c r="J2396" s="1707"/>
      <c r="K2396" s="1707"/>
      <c r="L2396" s="1704"/>
      <c r="M2396" s="1704"/>
    </row>
    <row r="2397" spans="5:13" ht="15">
      <c r="E2397" s="1645"/>
      <c r="F2397" s="1707"/>
      <c r="G2397" s="1707"/>
      <c r="H2397" s="1707"/>
      <c r="I2397" s="1707"/>
      <c r="J2397" s="1707"/>
      <c r="K2397" s="1707"/>
      <c r="L2397" s="1704"/>
      <c r="M2397" s="1704"/>
    </row>
    <row r="2398" spans="5:13" ht="15">
      <c r="E2398" s="1645"/>
      <c r="F2398" s="1707"/>
      <c r="G2398" s="1707"/>
      <c r="H2398" s="1707"/>
      <c r="I2398" s="1707"/>
      <c r="J2398" s="1707"/>
      <c r="K2398" s="1707"/>
      <c r="L2398" s="1704"/>
      <c r="M2398" s="1704"/>
    </row>
    <row r="2399" spans="5:13" ht="15">
      <c r="E2399" s="1645"/>
      <c r="F2399" s="1707"/>
      <c r="G2399" s="1707"/>
      <c r="H2399" s="1707"/>
      <c r="I2399" s="1707"/>
      <c r="J2399" s="1707"/>
      <c r="K2399" s="1707"/>
      <c r="L2399" s="1704"/>
      <c r="M2399" s="1704"/>
    </row>
    <row r="2400" spans="5:13" ht="15">
      <c r="E2400" s="1645"/>
      <c r="F2400" s="1707"/>
      <c r="G2400" s="1707"/>
      <c r="H2400" s="1707"/>
      <c r="I2400" s="1707"/>
      <c r="J2400" s="1707"/>
      <c r="K2400" s="1707"/>
      <c r="L2400" s="1704"/>
      <c r="M2400" s="1704"/>
    </row>
    <row r="2401" spans="5:13" ht="15">
      <c r="E2401" s="1645"/>
      <c r="F2401" s="1707"/>
      <c r="G2401" s="1707"/>
      <c r="H2401" s="1707"/>
      <c r="I2401" s="1707"/>
      <c r="J2401" s="1707"/>
      <c r="K2401" s="1707"/>
      <c r="L2401" s="1704"/>
      <c r="M2401" s="1704"/>
    </row>
    <row r="2402" spans="5:13" ht="15">
      <c r="E2402" s="1645"/>
      <c r="F2402" s="1707"/>
      <c r="G2402" s="1707"/>
      <c r="H2402" s="1707"/>
      <c r="I2402" s="1707"/>
      <c r="J2402" s="1707"/>
      <c r="K2402" s="1707"/>
      <c r="L2402" s="1704"/>
      <c r="M2402" s="1704"/>
    </row>
    <row r="2403" spans="5:13" ht="15">
      <c r="E2403" s="1645"/>
      <c r="F2403" s="1707"/>
      <c r="G2403" s="1707"/>
      <c r="H2403" s="1707"/>
      <c r="I2403" s="1707"/>
      <c r="J2403" s="1707"/>
      <c r="K2403" s="1707"/>
      <c r="L2403" s="1704"/>
      <c r="M2403" s="1704"/>
    </row>
    <row r="2404" spans="5:13" ht="15">
      <c r="E2404" s="1645"/>
      <c r="F2404" s="1707"/>
      <c r="G2404" s="1707"/>
      <c r="H2404" s="1707"/>
      <c r="I2404" s="1707"/>
      <c r="J2404" s="1707"/>
      <c r="K2404" s="1707"/>
      <c r="L2404" s="1704"/>
      <c r="M2404" s="1704"/>
    </row>
    <row r="2405" spans="5:13" ht="15">
      <c r="E2405" s="1645"/>
      <c r="F2405" s="1707"/>
      <c r="G2405" s="1707"/>
      <c r="H2405" s="1707"/>
      <c r="I2405" s="1707"/>
      <c r="J2405" s="1707"/>
      <c r="K2405" s="1707"/>
      <c r="L2405" s="1704"/>
      <c r="M2405" s="1704"/>
    </row>
    <row r="2406" spans="5:13" ht="15">
      <c r="E2406" s="1645"/>
      <c r="F2406" s="1707"/>
      <c r="G2406" s="1707"/>
      <c r="H2406" s="1707"/>
      <c r="I2406" s="1707"/>
      <c r="J2406" s="1707"/>
      <c r="K2406" s="1707"/>
      <c r="L2406" s="1704"/>
      <c r="M2406" s="1704"/>
    </row>
    <row r="2407" spans="5:13" ht="15">
      <c r="E2407" s="1645"/>
      <c r="F2407" s="1707"/>
      <c r="G2407" s="1707"/>
      <c r="H2407" s="1707"/>
      <c r="I2407" s="1707"/>
      <c r="J2407" s="1707"/>
      <c r="K2407" s="1707"/>
      <c r="L2407" s="1704"/>
      <c r="M2407" s="1704"/>
    </row>
    <row r="2408" spans="5:13" ht="15">
      <c r="E2408" s="1645"/>
      <c r="F2408" s="1707"/>
      <c r="G2408" s="1707"/>
      <c r="H2408" s="1707"/>
      <c r="I2408" s="1707"/>
      <c r="J2408" s="1707"/>
      <c r="K2408" s="1707"/>
      <c r="L2408" s="1704"/>
      <c r="M2408" s="1704"/>
    </row>
    <row r="2409" spans="5:13" ht="15">
      <c r="E2409" s="1645"/>
      <c r="F2409" s="1707"/>
      <c r="G2409" s="1707"/>
      <c r="H2409" s="1707"/>
      <c r="I2409" s="1707"/>
      <c r="J2409" s="1707"/>
      <c r="K2409" s="1707"/>
      <c r="L2409" s="1704"/>
      <c r="M2409" s="1704"/>
    </row>
    <row r="2410" spans="5:13" ht="15">
      <c r="E2410" s="1645"/>
      <c r="F2410" s="1707"/>
      <c r="G2410" s="1707"/>
      <c r="H2410" s="1707"/>
      <c r="I2410" s="1707"/>
      <c r="J2410" s="1707"/>
      <c r="K2410" s="1707"/>
      <c r="L2410" s="1704"/>
      <c r="M2410" s="1704"/>
    </row>
    <row r="2411" spans="5:13" ht="15">
      <c r="E2411" s="1645"/>
      <c r="F2411" s="1707"/>
      <c r="G2411" s="1707"/>
      <c r="H2411" s="1707"/>
      <c r="I2411" s="1707"/>
      <c r="J2411" s="1707"/>
      <c r="K2411" s="1707"/>
      <c r="L2411" s="1704"/>
      <c r="M2411" s="1704"/>
    </row>
    <row r="2412" spans="5:13" ht="15">
      <c r="E2412" s="1645"/>
      <c r="F2412" s="1707"/>
      <c r="G2412" s="1707"/>
      <c r="H2412" s="1707"/>
      <c r="I2412" s="1707"/>
      <c r="J2412" s="1707"/>
      <c r="K2412" s="1707"/>
      <c r="L2412" s="1704"/>
      <c r="M2412" s="1704"/>
    </row>
    <row r="2413" spans="5:13" ht="15">
      <c r="E2413" s="1645"/>
      <c r="F2413" s="1707"/>
      <c r="G2413" s="1707"/>
      <c r="H2413" s="1707"/>
      <c r="I2413" s="1707"/>
      <c r="J2413" s="1707"/>
      <c r="K2413" s="1707"/>
      <c r="L2413" s="1704"/>
      <c r="M2413" s="1704"/>
    </row>
    <row r="2414" spans="5:13" ht="15">
      <c r="E2414" s="1645"/>
      <c r="F2414" s="1707"/>
      <c r="G2414" s="1707"/>
      <c r="H2414" s="1707"/>
      <c r="I2414" s="1707"/>
      <c r="J2414" s="1707"/>
      <c r="K2414" s="1707"/>
      <c r="L2414" s="1704"/>
      <c r="M2414" s="1704"/>
    </row>
    <row r="2415" spans="5:13" ht="15">
      <c r="E2415" s="1645"/>
      <c r="F2415" s="1707"/>
      <c r="G2415" s="1707"/>
      <c r="H2415" s="1707"/>
      <c r="I2415" s="1707"/>
      <c r="J2415" s="1707"/>
      <c r="K2415" s="1707"/>
      <c r="L2415" s="1704"/>
      <c r="M2415" s="1704"/>
    </row>
    <row r="2416" spans="5:13" ht="15">
      <c r="E2416" s="1645"/>
      <c r="F2416" s="1707"/>
      <c r="G2416" s="1707"/>
      <c r="H2416" s="1707"/>
      <c r="I2416" s="1707"/>
      <c r="J2416" s="1707"/>
      <c r="K2416" s="1707"/>
      <c r="L2416" s="1704"/>
      <c r="M2416" s="1704"/>
    </row>
    <row r="2417" spans="5:13" ht="15">
      <c r="E2417" s="1645"/>
      <c r="F2417" s="1707"/>
      <c r="G2417" s="1707"/>
      <c r="H2417" s="1707"/>
      <c r="I2417" s="1707"/>
      <c r="J2417" s="1707"/>
      <c r="K2417" s="1707"/>
      <c r="L2417" s="1704"/>
      <c r="M2417" s="1704"/>
    </row>
    <row r="2418" spans="5:13" ht="15">
      <c r="E2418" s="1645"/>
      <c r="F2418" s="1707"/>
      <c r="G2418" s="1707"/>
      <c r="H2418" s="1707"/>
      <c r="I2418" s="1707"/>
      <c r="J2418" s="1707"/>
      <c r="K2418" s="1707"/>
      <c r="L2418" s="1704"/>
      <c r="M2418" s="1704"/>
    </row>
    <row r="2419" spans="5:13" ht="15">
      <c r="E2419" s="1645"/>
      <c r="F2419" s="1707"/>
      <c r="G2419" s="1707"/>
      <c r="H2419" s="1707"/>
      <c r="I2419" s="1707"/>
      <c r="J2419" s="1707"/>
      <c r="K2419" s="1707"/>
      <c r="L2419" s="1704"/>
      <c r="M2419" s="1704"/>
    </row>
    <row r="2420" spans="5:13" ht="15">
      <c r="E2420" s="1645"/>
      <c r="F2420" s="1707"/>
      <c r="G2420" s="1707"/>
      <c r="H2420" s="1707"/>
      <c r="I2420" s="1707"/>
      <c r="J2420" s="1707"/>
      <c r="K2420" s="1707"/>
      <c r="L2420" s="1704"/>
      <c r="M2420" s="1704"/>
    </row>
    <row r="2421" spans="5:13" ht="15">
      <c r="E2421" s="1645"/>
      <c r="F2421" s="1707"/>
      <c r="G2421" s="1707"/>
      <c r="H2421" s="1707"/>
      <c r="I2421" s="1707"/>
      <c r="J2421" s="1707"/>
      <c r="K2421" s="1707"/>
      <c r="L2421" s="1704"/>
      <c r="M2421" s="1704"/>
    </row>
    <row r="2422" spans="5:13" ht="15">
      <c r="E2422" s="1645"/>
      <c r="F2422" s="1707"/>
      <c r="G2422" s="1707"/>
      <c r="H2422" s="1707"/>
      <c r="I2422" s="1707"/>
      <c r="J2422" s="1707"/>
      <c r="K2422" s="1707"/>
      <c r="L2422" s="1704"/>
      <c r="M2422" s="1704"/>
    </row>
    <row r="2423" spans="5:13" ht="15">
      <c r="E2423" s="1645"/>
      <c r="F2423" s="1707"/>
      <c r="G2423" s="1707"/>
      <c r="H2423" s="1707"/>
      <c r="I2423" s="1707"/>
      <c r="J2423" s="1707"/>
      <c r="K2423" s="1707"/>
      <c r="L2423" s="1704"/>
      <c r="M2423" s="1704"/>
    </row>
    <row r="2424" spans="5:13" ht="15">
      <c r="E2424" s="1645"/>
      <c r="F2424" s="1707"/>
      <c r="G2424" s="1707"/>
      <c r="H2424" s="1707"/>
      <c r="I2424" s="1707"/>
      <c r="J2424" s="1707"/>
      <c r="K2424" s="1707"/>
      <c r="L2424" s="1704"/>
      <c r="M2424" s="1704"/>
    </row>
    <row r="2425" spans="5:13" ht="15">
      <c r="E2425" s="1645"/>
      <c r="F2425" s="1707"/>
      <c r="G2425" s="1707"/>
      <c r="H2425" s="1707"/>
      <c r="I2425" s="1707"/>
      <c r="J2425" s="1707"/>
      <c r="K2425" s="1707"/>
      <c r="L2425" s="1704"/>
      <c r="M2425" s="1704"/>
    </row>
    <row r="2426" spans="5:13" ht="15">
      <c r="E2426" s="1645"/>
      <c r="F2426" s="1707"/>
      <c r="G2426" s="1707"/>
      <c r="H2426" s="1707"/>
      <c r="I2426" s="1707"/>
      <c r="J2426" s="1707"/>
      <c r="K2426" s="1707"/>
      <c r="L2426" s="1704"/>
      <c r="M2426" s="1704"/>
    </row>
    <row r="2427" spans="5:13" ht="15">
      <c r="E2427" s="1645"/>
      <c r="F2427" s="1707"/>
      <c r="G2427" s="1707"/>
      <c r="H2427" s="1707"/>
      <c r="I2427" s="1707"/>
      <c r="J2427" s="1707"/>
      <c r="K2427" s="1707"/>
      <c r="L2427" s="1704"/>
      <c r="M2427" s="1704"/>
    </row>
    <row r="2428" spans="5:13" ht="15">
      <c r="E2428" s="1645"/>
      <c r="F2428" s="1707"/>
      <c r="G2428" s="1707"/>
      <c r="H2428" s="1707"/>
      <c r="I2428" s="1707"/>
      <c r="J2428" s="1707"/>
      <c r="K2428" s="1707"/>
      <c r="L2428" s="1704"/>
      <c r="M2428" s="1704"/>
    </row>
    <row r="2429" spans="5:13" ht="15">
      <c r="E2429" s="1645"/>
      <c r="F2429" s="1707"/>
      <c r="G2429" s="1707"/>
      <c r="H2429" s="1707"/>
      <c r="I2429" s="1707"/>
      <c r="J2429" s="1707"/>
      <c r="K2429" s="1707"/>
      <c r="L2429" s="1704"/>
      <c r="M2429" s="1704"/>
    </row>
    <row r="2430" spans="5:13" ht="15">
      <c r="E2430" s="1645"/>
      <c r="F2430" s="1707"/>
      <c r="G2430" s="1707"/>
      <c r="H2430" s="1707"/>
      <c r="I2430" s="1707"/>
      <c r="J2430" s="1707"/>
      <c r="K2430" s="1707"/>
      <c r="L2430" s="1704"/>
      <c r="M2430" s="1704"/>
    </row>
    <row r="2431" spans="5:13" ht="15">
      <c r="E2431" s="1645"/>
      <c r="F2431" s="1707"/>
      <c r="G2431" s="1707"/>
      <c r="H2431" s="1707"/>
      <c r="I2431" s="1707"/>
      <c r="J2431" s="1707"/>
      <c r="K2431" s="1707"/>
      <c r="L2431" s="1704"/>
      <c r="M2431" s="1704"/>
    </row>
    <row r="2432" spans="5:13" ht="15">
      <c r="E2432" s="1645"/>
      <c r="F2432" s="1707"/>
      <c r="G2432" s="1707"/>
      <c r="H2432" s="1707"/>
      <c r="I2432" s="1707"/>
      <c r="J2432" s="1707"/>
      <c r="K2432" s="1707"/>
      <c r="L2432" s="1704"/>
      <c r="M2432" s="1704"/>
    </row>
    <row r="2433" spans="5:13" ht="15">
      <c r="E2433" s="1645"/>
      <c r="F2433" s="1707"/>
      <c r="G2433" s="1707"/>
      <c r="H2433" s="1707"/>
      <c r="I2433" s="1707"/>
      <c r="J2433" s="1707"/>
      <c r="K2433" s="1707"/>
      <c r="L2433" s="1704"/>
      <c r="M2433" s="1704"/>
    </row>
    <row r="2434" spans="5:13" ht="15">
      <c r="E2434" s="1645"/>
      <c r="F2434" s="1707"/>
      <c r="G2434" s="1707"/>
      <c r="H2434" s="1707"/>
      <c r="I2434" s="1707"/>
      <c r="J2434" s="1707"/>
      <c r="K2434" s="1707"/>
      <c r="L2434" s="1704"/>
      <c r="M2434" s="1704"/>
    </row>
    <row r="2435" spans="5:13" ht="15">
      <c r="E2435" s="1645"/>
      <c r="F2435" s="1707"/>
      <c r="G2435" s="1707"/>
      <c r="H2435" s="1707"/>
      <c r="I2435" s="1707"/>
      <c r="J2435" s="1707"/>
      <c r="K2435" s="1707"/>
      <c r="L2435" s="1704"/>
      <c r="M2435" s="1704"/>
    </row>
    <row r="2436" spans="5:13" ht="15">
      <c r="E2436" s="1645"/>
      <c r="F2436" s="1707"/>
      <c r="G2436" s="1707"/>
      <c r="H2436" s="1707"/>
      <c r="I2436" s="1707"/>
      <c r="J2436" s="1707"/>
      <c r="K2436" s="1707"/>
      <c r="L2436" s="1704"/>
      <c r="M2436" s="1704"/>
    </row>
    <row r="2437" spans="5:13" ht="15">
      <c r="E2437" s="1645"/>
      <c r="F2437" s="1707"/>
      <c r="G2437" s="1707"/>
      <c r="H2437" s="1707"/>
      <c r="I2437" s="1707"/>
      <c r="J2437" s="1707"/>
      <c r="K2437" s="1707"/>
      <c r="L2437" s="1704"/>
      <c r="M2437" s="1704"/>
    </row>
    <row r="2438" spans="5:13" ht="15">
      <c r="E2438" s="1645"/>
      <c r="F2438" s="1707"/>
      <c r="G2438" s="1707"/>
      <c r="H2438" s="1707"/>
      <c r="I2438" s="1707"/>
      <c r="J2438" s="1707"/>
      <c r="K2438" s="1707"/>
      <c r="L2438" s="1704"/>
      <c r="M2438" s="1704"/>
    </row>
    <row r="2439" spans="5:13" ht="15">
      <c r="E2439" s="1645"/>
      <c r="F2439" s="1707"/>
      <c r="G2439" s="1707"/>
      <c r="H2439" s="1707"/>
      <c r="I2439" s="1707"/>
      <c r="J2439" s="1707"/>
      <c r="K2439" s="1707"/>
      <c r="L2439" s="1704"/>
      <c r="M2439" s="1704"/>
    </row>
    <row r="2440" spans="5:13" ht="15">
      <c r="E2440" s="1645"/>
      <c r="F2440" s="1707"/>
      <c r="G2440" s="1707"/>
      <c r="H2440" s="1707"/>
      <c r="I2440" s="1707"/>
      <c r="J2440" s="1707"/>
      <c r="K2440" s="1707"/>
      <c r="L2440" s="1704"/>
      <c r="M2440" s="1704"/>
    </row>
    <row r="2441" spans="5:13" ht="15">
      <c r="E2441" s="1645"/>
      <c r="F2441" s="1707"/>
      <c r="G2441" s="1707"/>
      <c r="H2441" s="1707"/>
      <c r="I2441" s="1707"/>
      <c r="J2441" s="1707"/>
      <c r="K2441" s="1707"/>
      <c r="L2441" s="1704"/>
      <c r="M2441" s="1704"/>
    </row>
    <row r="2442" spans="5:13" ht="15">
      <c r="E2442" s="1645"/>
      <c r="F2442" s="1707"/>
      <c r="G2442" s="1707"/>
      <c r="H2442" s="1707"/>
      <c r="I2442" s="1707"/>
      <c r="J2442" s="1707"/>
      <c r="K2442" s="1707"/>
      <c r="L2442" s="1704"/>
      <c r="M2442" s="1704"/>
    </row>
    <row r="2443" spans="5:13" ht="15">
      <c r="E2443" s="1645"/>
      <c r="F2443" s="1707"/>
      <c r="G2443" s="1707"/>
      <c r="H2443" s="1707"/>
      <c r="I2443" s="1707"/>
      <c r="J2443" s="1707"/>
      <c r="K2443" s="1707"/>
      <c r="L2443" s="1704"/>
      <c r="M2443" s="1704"/>
    </row>
    <row r="2444" spans="5:13" ht="15">
      <c r="E2444" s="1645"/>
      <c r="F2444" s="1707"/>
      <c r="G2444" s="1707"/>
      <c r="H2444" s="1707"/>
      <c r="I2444" s="1707"/>
      <c r="J2444" s="1707"/>
      <c r="K2444" s="1707"/>
      <c r="L2444" s="1704"/>
      <c r="M2444" s="1704"/>
    </row>
    <row r="2445" spans="5:13" ht="15">
      <c r="E2445" s="1645"/>
      <c r="F2445" s="1707"/>
      <c r="G2445" s="1707"/>
      <c r="H2445" s="1707"/>
      <c r="I2445" s="1707"/>
      <c r="J2445" s="1707"/>
      <c r="K2445" s="1707"/>
      <c r="L2445" s="1704"/>
      <c r="M2445" s="1704"/>
    </row>
    <row r="2446" spans="5:13" ht="15">
      <c r="E2446" s="1645"/>
      <c r="F2446" s="1707"/>
      <c r="G2446" s="1707"/>
      <c r="H2446" s="1707"/>
      <c r="I2446" s="1707"/>
      <c r="J2446" s="1707"/>
      <c r="K2446" s="1707"/>
      <c r="L2446" s="1704"/>
      <c r="M2446" s="1704"/>
    </row>
    <row r="2447" spans="5:13" ht="15">
      <c r="E2447" s="1645"/>
      <c r="F2447" s="1707"/>
      <c r="G2447" s="1707"/>
      <c r="H2447" s="1707"/>
      <c r="I2447" s="1707"/>
      <c r="J2447" s="1707"/>
      <c r="K2447" s="1707"/>
      <c r="L2447" s="1704"/>
      <c r="M2447" s="1704"/>
    </row>
    <row r="2448" spans="5:13" ht="15">
      <c r="E2448" s="1645"/>
      <c r="F2448" s="1707"/>
      <c r="G2448" s="1707"/>
      <c r="H2448" s="1707"/>
      <c r="I2448" s="1707"/>
      <c r="J2448" s="1707"/>
      <c r="K2448" s="1707"/>
      <c r="L2448" s="1704"/>
      <c r="M2448" s="1704"/>
    </row>
    <row r="2449" spans="5:13" ht="15">
      <c r="E2449" s="1645"/>
      <c r="F2449" s="1707"/>
      <c r="G2449" s="1707"/>
      <c r="H2449" s="1707"/>
      <c r="I2449" s="1707"/>
      <c r="J2449" s="1707"/>
      <c r="K2449" s="1707"/>
      <c r="L2449" s="1704"/>
      <c r="M2449" s="1704"/>
    </row>
    <row r="2450" spans="5:13" ht="15">
      <c r="E2450" s="1645"/>
      <c r="F2450" s="1707"/>
      <c r="G2450" s="1707"/>
      <c r="H2450" s="1707"/>
      <c r="I2450" s="1707"/>
      <c r="J2450" s="1707"/>
      <c r="K2450" s="1707"/>
      <c r="L2450" s="1704"/>
      <c r="M2450" s="1704"/>
    </row>
    <row r="2451" spans="5:13" ht="15">
      <c r="E2451" s="1645"/>
      <c r="F2451" s="1707"/>
      <c r="G2451" s="1707"/>
      <c r="H2451" s="1707"/>
      <c r="I2451" s="1707"/>
      <c r="J2451" s="1707"/>
      <c r="K2451" s="1707"/>
      <c r="L2451" s="1704"/>
      <c r="M2451" s="1704"/>
    </row>
    <row r="2452" spans="5:13" ht="15">
      <c r="E2452" s="1645"/>
      <c r="F2452" s="1707"/>
      <c r="G2452" s="1707"/>
      <c r="H2452" s="1707"/>
      <c r="I2452" s="1707"/>
      <c r="J2452" s="1707"/>
      <c r="K2452" s="1707"/>
      <c r="L2452" s="1704"/>
      <c r="M2452" s="1704"/>
    </row>
    <row r="2453" spans="5:13" ht="15">
      <c r="E2453" s="1645"/>
      <c r="F2453" s="1707"/>
      <c r="G2453" s="1707"/>
      <c r="H2453" s="1707"/>
      <c r="I2453" s="1707"/>
      <c r="J2453" s="1707"/>
      <c r="K2453" s="1707"/>
      <c r="L2453" s="1704"/>
      <c r="M2453" s="1704"/>
    </row>
    <row r="2454" spans="5:13" ht="15">
      <c r="E2454" s="1645"/>
      <c r="F2454" s="1707"/>
      <c r="G2454" s="1707"/>
      <c r="H2454" s="1707"/>
      <c r="I2454" s="1707"/>
      <c r="J2454" s="1707"/>
      <c r="K2454" s="1707"/>
      <c r="L2454" s="1704"/>
      <c r="M2454" s="1704"/>
    </row>
    <row r="2455" spans="5:13" ht="15">
      <c r="E2455" s="1645"/>
      <c r="F2455" s="1707"/>
      <c r="G2455" s="1707"/>
      <c r="H2455" s="1707"/>
      <c r="I2455" s="1707"/>
      <c r="J2455" s="1707"/>
      <c r="K2455" s="1707"/>
      <c r="L2455" s="1704"/>
      <c r="M2455" s="1704"/>
    </row>
    <row r="2456" spans="5:13" ht="15">
      <c r="E2456" s="1645"/>
      <c r="F2456" s="1707"/>
      <c r="G2456" s="1707"/>
      <c r="H2456" s="1707"/>
      <c r="I2456" s="1707"/>
      <c r="J2456" s="1707"/>
      <c r="K2456" s="1707"/>
      <c r="L2456" s="1704"/>
      <c r="M2456" s="1704"/>
    </row>
    <row r="2457" spans="5:13" ht="15">
      <c r="E2457" s="1645"/>
      <c r="F2457" s="1707"/>
      <c r="G2457" s="1707"/>
      <c r="H2457" s="1707"/>
      <c r="I2457" s="1707"/>
      <c r="J2457" s="1707"/>
      <c r="K2457" s="1707"/>
      <c r="L2457" s="1704"/>
      <c r="M2457" s="1704"/>
    </row>
    <row r="2458" spans="5:13" ht="15">
      <c r="E2458" s="1645"/>
      <c r="F2458" s="1707"/>
      <c r="G2458" s="1707"/>
      <c r="H2458" s="1707"/>
      <c r="I2458" s="1707"/>
      <c r="J2458" s="1707"/>
      <c r="K2458" s="1707"/>
      <c r="L2458" s="1704"/>
      <c r="M2458" s="1704"/>
    </row>
    <row r="2459" spans="5:13" ht="15">
      <c r="E2459" s="1645"/>
      <c r="F2459" s="1707"/>
      <c r="G2459" s="1707"/>
      <c r="H2459" s="1707"/>
      <c r="I2459" s="1707"/>
      <c r="J2459" s="1707"/>
      <c r="K2459" s="1707"/>
      <c r="L2459" s="1704"/>
      <c r="M2459" s="1704"/>
    </row>
    <row r="2460" spans="5:13" ht="15">
      <c r="E2460" s="1645"/>
      <c r="F2460" s="1707"/>
      <c r="G2460" s="1707"/>
      <c r="H2460" s="1707"/>
      <c r="I2460" s="1707"/>
      <c r="J2460" s="1707"/>
      <c r="K2460" s="1707"/>
      <c r="L2460" s="1704"/>
      <c r="M2460" s="1704"/>
    </row>
    <row r="2461" spans="5:13" ht="15">
      <c r="E2461" s="1645"/>
      <c r="F2461" s="1707"/>
      <c r="G2461" s="1707"/>
      <c r="H2461" s="1707"/>
      <c r="I2461" s="1707"/>
      <c r="J2461" s="1707"/>
      <c r="K2461" s="1707"/>
      <c r="L2461" s="1704"/>
      <c r="M2461" s="1704"/>
    </row>
    <row r="2462" spans="5:13" ht="15">
      <c r="E2462" s="1645"/>
      <c r="F2462" s="1707"/>
      <c r="G2462" s="1707"/>
      <c r="H2462" s="1707"/>
      <c r="I2462" s="1707"/>
      <c r="J2462" s="1707"/>
      <c r="K2462" s="1707"/>
      <c r="L2462" s="1704"/>
      <c r="M2462" s="1704"/>
    </row>
    <row r="2463" spans="5:13" ht="15">
      <c r="E2463" s="1645"/>
      <c r="F2463" s="1707"/>
      <c r="G2463" s="1707"/>
      <c r="H2463" s="1707"/>
      <c r="I2463" s="1707"/>
      <c r="J2463" s="1707"/>
      <c r="K2463" s="1707"/>
      <c r="L2463" s="1704"/>
      <c r="M2463" s="1704"/>
    </row>
    <row r="2464" spans="5:13" ht="15">
      <c r="E2464" s="1645"/>
      <c r="F2464" s="1707"/>
      <c r="G2464" s="1707"/>
      <c r="H2464" s="1707"/>
      <c r="I2464" s="1707"/>
      <c r="J2464" s="1707"/>
      <c r="K2464" s="1707"/>
      <c r="L2464" s="1704"/>
      <c r="M2464" s="1704"/>
    </row>
    <row r="2465" spans="5:13" ht="15">
      <c r="E2465" s="1645"/>
      <c r="F2465" s="1707"/>
      <c r="G2465" s="1707"/>
      <c r="H2465" s="1707"/>
      <c r="I2465" s="1707"/>
      <c r="J2465" s="1707"/>
      <c r="K2465" s="1707"/>
      <c r="L2465" s="1704"/>
      <c r="M2465" s="1704"/>
    </row>
    <row r="2466" spans="5:13" ht="15">
      <c r="E2466" s="1645"/>
      <c r="F2466" s="1707"/>
      <c r="G2466" s="1707"/>
      <c r="H2466" s="1707"/>
      <c r="I2466" s="1707"/>
      <c r="J2466" s="1707"/>
      <c r="K2466" s="1707"/>
      <c r="L2466" s="1704"/>
      <c r="M2466" s="1704"/>
    </row>
    <row r="2467" spans="5:13" ht="15">
      <c r="E2467" s="1645"/>
      <c r="F2467" s="1707"/>
      <c r="G2467" s="1707"/>
      <c r="H2467" s="1707"/>
      <c r="I2467" s="1707"/>
      <c r="J2467" s="1707"/>
      <c r="K2467" s="1707"/>
      <c r="L2467" s="1704"/>
      <c r="M2467" s="1704"/>
    </row>
    <row r="2468" spans="5:13" ht="15">
      <c r="E2468" s="1645"/>
      <c r="F2468" s="1707"/>
      <c r="G2468" s="1707"/>
      <c r="H2468" s="1707"/>
      <c r="I2468" s="1707"/>
      <c r="J2468" s="1707"/>
      <c r="K2468" s="1707"/>
      <c r="L2468" s="1704"/>
      <c r="M2468" s="1704"/>
    </row>
    <row r="2469" spans="5:13" ht="15">
      <c r="E2469" s="1645"/>
      <c r="F2469" s="1707"/>
      <c r="G2469" s="1707"/>
      <c r="H2469" s="1707"/>
      <c r="I2469" s="1707"/>
      <c r="J2469" s="1707"/>
      <c r="K2469" s="1707"/>
      <c r="L2469" s="1704"/>
      <c r="M2469" s="1704"/>
    </row>
    <row r="2470" spans="5:13" ht="15">
      <c r="E2470" s="1645"/>
      <c r="F2470" s="1707"/>
      <c r="G2470" s="1707"/>
      <c r="H2470" s="1707"/>
      <c r="I2470" s="1707"/>
      <c r="J2470" s="1707"/>
      <c r="K2470" s="1707"/>
      <c r="L2470" s="1704"/>
      <c r="M2470" s="1704"/>
    </row>
    <row r="2471" spans="5:13" ht="15">
      <c r="E2471" s="1645"/>
      <c r="F2471" s="1707"/>
      <c r="G2471" s="1707"/>
      <c r="H2471" s="1707"/>
      <c r="I2471" s="1707"/>
      <c r="J2471" s="1707"/>
      <c r="K2471" s="1707"/>
      <c r="L2471" s="1704"/>
      <c r="M2471" s="1704"/>
    </row>
    <row r="2472" spans="5:13" ht="15">
      <c r="E2472" s="1645"/>
      <c r="F2472" s="1707"/>
      <c r="G2472" s="1707"/>
      <c r="H2472" s="1707"/>
      <c r="I2472" s="1707"/>
      <c r="J2472" s="1707"/>
      <c r="K2472" s="1707"/>
      <c r="L2472" s="1704"/>
      <c r="M2472" s="1704"/>
    </row>
    <row r="2473" spans="5:13" ht="15">
      <c r="E2473" s="1645"/>
      <c r="F2473" s="1707"/>
      <c r="G2473" s="1707"/>
      <c r="H2473" s="1707"/>
      <c r="I2473" s="1707"/>
      <c r="J2473" s="1707"/>
      <c r="K2473" s="1707"/>
      <c r="L2473" s="1704"/>
      <c r="M2473" s="1704"/>
    </row>
    <row r="2474" spans="5:13" ht="15">
      <c r="E2474" s="1645"/>
      <c r="F2474" s="1707"/>
      <c r="G2474" s="1707"/>
      <c r="H2474" s="1707"/>
      <c r="I2474" s="1707"/>
      <c r="J2474" s="1707"/>
      <c r="K2474" s="1707"/>
      <c r="L2474" s="1704"/>
      <c r="M2474" s="1704"/>
    </row>
    <row r="2475" spans="5:13" ht="15">
      <c r="E2475" s="1645"/>
      <c r="F2475" s="1707"/>
      <c r="G2475" s="1707"/>
      <c r="H2475" s="1707"/>
      <c r="I2475" s="1707"/>
      <c r="J2475" s="1707"/>
      <c r="K2475" s="1707"/>
      <c r="L2475" s="1704"/>
      <c r="M2475" s="1704"/>
    </row>
    <row r="2476" spans="5:13" ht="15">
      <c r="E2476" s="1645"/>
      <c r="F2476" s="1707"/>
      <c r="G2476" s="1707"/>
      <c r="H2476" s="1707"/>
      <c r="I2476" s="1707"/>
      <c r="J2476" s="1707"/>
      <c r="K2476" s="1707"/>
      <c r="L2476" s="1704"/>
      <c r="M2476" s="1704"/>
    </row>
    <row r="2477" spans="5:13" ht="15">
      <c r="E2477" s="1645"/>
      <c r="F2477" s="1707"/>
      <c r="G2477" s="1707"/>
      <c r="H2477" s="1707"/>
      <c r="I2477" s="1707"/>
      <c r="J2477" s="1707"/>
      <c r="K2477" s="1707"/>
      <c r="L2477" s="1704"/>
      <c r="M2477" s="1704"/>
    </row>
    <row r="2478" spans="5:13" ht="15">
      <c r="E2478" s="1645"/>
      <c r="F2478" s="1707"/>
      <c r="G2478" s="1707"/>
      <c r="H2478" s="1707"/>
      <c r="I2478" s="1707"/>
      <c r="J2478" s="1707"/>
      <c r="K2478" s="1707"/>
      <c r="L2478" s="1704"/>
      <c r="M2478" s="1704"/>
    </row>
    <row r="2479" spans="5:13" ht="15">
      <c r="E2479" s="1645"/>
      <c r="F2479" s="1707"/>
      <c r="G2479" s="1707"/>
      <c r="H2479" s="1707"/>
      <c r="I2479" s="1707"/>
      <c r="J2479" s="1707"/>
      <c r="K2479" s="1707"/>
      <c r="L2479" s="1704"/>
      <c r="M2479" s="1704"/>
    </row>
    <row r="2480" spans="5:13" ht="15">
      <c r="E2480" s="1645"/>
      <c r="F2480" s="1707"/>
      <c r="G2480" s="1707"/>
      <c r="H2480" s="1707"/>
      <c r="I2480" s="1707"/>
      <c r="J2480" s="1707"/>
      <c r="K2480" s="1707"/>
      <c r="L2480" s="1704"/>
      <c r="M2480" s="1704"/>
    </row>
    <row r="2481" spans="5:13" ht="15">
      <c r="E2481" s="1645"/>
      <c r="F2481" s="1707"/>
      <c r="G2481" s="1707"/>
      <c r="H2481" s="1707"/>
      <c r="I2481" s="1707"/>
      <c r="J2481" s="1707"/>
      <c r="K2481" s="1707"/>
      <c r="L2481" s="1704"/>
      <c r="M2481" s="1704"/>
    </row>
    <row r="2482" spans="5:13" ht="15">
      <c r="E2482" s="1645"/>
      <c r="F2482" s="1707"/>
      <c r="G2482" s="1707"/>
      <c r="H2482" s="1707"/>
      <c r="I2482" s="1707"/>
      <c r="J2482" s="1707"/>
      <c r="K2482" s="1707"/>
      <c r="L2482" s="1704"/>
      <c r="M2482" s="1704"/>
    </row>
    <row r="2483" spans="5:13" ht="15">
      <c r="E2483" s="1645"/>
      <c r="F2483" s="1707"/>
      <c r="G2483" s="1707"/>
      <c r="H2483" s="1707"/>
      <c r="I2483" s="1707"/>
      <c r="J2483" s="1707"/>
      <c r="K2483" s="1707"/>
      <c r="L2483" s="1704"/>
      <c r="M2483" s="1704"/>
    </row>
    <row r="2484" spans="5:13" ht="15">
      <c r="E2484" s="1645"/>
      <c r="F2484" s="1707"/>
      <c r="G2484" s="1707"/>
      <c r="H2484" s="1707"/>
      <c r="I2484" s="1707"/>
      <c r="J2484" s="1707"/>
      <c r="K2484" s="1707"/>
      <c r="L2484" s="1704"/>
      <c r="M2484" s="1704"/>
    </row>
    <row r="2485" spans="5:13" ht="15">
      <c r="E2485" s="1645"/>
      <c r="F2485" s="1707"/>
      <c r="G2485" s="1707"/>
      <c r="H2485" s="1707"/>
      <c r="I2485" s="1707"/>
      <c r="J2485" s="1707"/>
      <c r="K2485" s="1707"/>
      <c r="L2485" s="1704"/>
      <c r="M2485" s="1704"/>
    </row>
    <row r="2486" spans="5:13" ht="15">
      <c r="E2486" s="1645"/>
      <c r="F2486" s="1707"/>
      <c r="G2486" s="1707"/>
      <c r="H2486" s="1707"/>
      <c r="I2486" s="1707"/>
      <c r="J2486" s="1707"/>
      <c r="K2486" s="1707"/>
      <c r="L2486" s="1704"/>
      <c r="M2486" s="1704"/>
    </row>
    <row r="2487" spans="5:13" ht="15">
      <c r="E2487" s="1645"/>
      <c r="F2487" s="1707"/>
      <c r="G2487" s="1707"/>
      <c r="H2487" s="1707"/>
      <c r="I2487" s="1707"/>
      <c r="J2487" s="1707"/>
      <c r="K2487" s="1707"/>
      <c r="L2487" s="1704"/>
      <c r="M2487" s="1704"/>
    </row>
    <row r="2488" spans="5:13" ht="15">
      <c r="E2488" s="1645"/>
      <c r="F2488" s="1707"/>
      <c r="G2488" s="1707"/>
      <c r="H2488" s="1707"/>
      <c r="I2488" s="1707"/>
      <c r="J2488" s="1707"/>
      <c r="K2488" s="1707"/>
      <c r="L2488" s="1704"/>
      <c r="M2488" s="1704"/>
    </row>
    <row r="2489" spans="5:13" ht="15">
      <c r="E2489" s="1645"/>
      <c r="F2489" s="1707"/>
      <c r="G2489" s="1707"/>
      <c r="H2489" s="1707"/>
      <c r="I2489" s="1707"/>
      <c r="J2489" s="1707"/>
      <c r="K2489" s="1707"/>
      <c r="L2489" s="1704"/>
      <c r="M2489" s="1704"/>
    </row>
    <row r="2490" spans="5:13" ht="15">
      <c r="E2490" s="1645"/>
      <c r="F2490" s="1707"/>
      <c r="G2490" s="1707"/>
      <c r="H2490" s="1707"/>
      <c r="I2490" s="1707"/>
      <c r="J2490" s="1707"/>
      <c r="K2490" s="1707"/>
      <c r="L2490" s="1704"/>
      <c r="M2490" s="1704"/>
    </row>
    <row r="2491" spans="5:13" ht="15">
      <c r="E2491" s="1645"/>
      <c r="F2491" s="1707"/>
      <c r="G2491" s="1707"/>
      <c r="H2491" s="1707"/>
      <c r="I2491" s="1707"/>
      <c r="J2491" s="1707"/>
      <c r="K2491" s="1707"/>
      <c r="L2491" s="1704"/>
      <c r="M2491" s="1704"/>
    </row>
    <row r="2492" spans="5:13" ht="15">
      <c r="E2492" s="1645"/>
      <c r="F2492" s="1707"/>
      <c r="G2492" s="1707"/>
      <c r="H2492" s="1707"/>
      <c r="I2492" s="1707"/>
      <c r="J2492" s="1707"/>
      <c r="K2492" s="1707"/>
      <c r="L2492" s="1704"/>
      <c r="M2492" s="1704"/>
    </row>
    <row r="2493" spans="5:13" ht="15">
      <c r="E2493" s="1645"/>
      <c r="F2493" s="1707"/>
      <c r="G2493" s="1707"/>
      <c r="H2493" s="1707"/>
      <c r="I2493" s="1707"/>
      <c r="J2493" s="1707"/>
      <c r="K2493" s="1707"/>
      <c r="L2493" s="1704"/>
      <c r="M2493" s="1704"/>
    </row>
    <row r="2494" spans="5:13" ht="15">
      <c r="E2494" s="1645"/>
      <c r="F2494" s="1707"/>
      <c r="G2494" s="1707"/>
      <c r="H2494" s="1707"/>
      <c r="I2494" s="1707"/>
      <c r="J2494" s="1707"/>
      <c r="K2494" s="1707"/>
      <c r="L2494" s="1704"/>
      <c r="M2494" s="1704"/>
    </row>
    <row r="2495" spans="5:13" ht="15">
      <c r="E2495" s="1645"/>
      <c r="F2495" s="1707"/>
      <c r="G2495" s="1707"/>
      <c r="H2495" s="1707"/>
      <c r="I2495" s="1707"/>
      <c r="J2495" s="1707"/>
      <c r="K2495" s="1707"/>
      <c r="L2495" s="1704"/>
      <c r="M2495" s="1704"/>
    </row>
    <row r="2496" spans="5:13" ht="15">
      <c r="E2496" s="1645"/>
      <c r="F2496" s="1707"/>
      <c r="G2496" s="1707"/>
      <c r="H2496" s="1707"/>
      <c r="I2496" s="1707"/>
      <c r="J2496" s="1707"/>
      <c r="K2496" s="1707"/>
      <c r="L2496" s="1704"/>
      <c r="M2496" s="1704"/>
    </row>
    <row r="2497" spans="5:13" ht="15">
      <c r="E2497" s="1645"/>
      <c r="F2497" s="1707"/>
      <c r="G2497" s="1707"/>
      <c r="H2497" s="1707"/>
      <c r="I2497" s="1707"/>
      <c r="J2497" s="1707"/>
      <c r="K2497" s="1707"/>
      <c r="L2497" s="1704"/>
      <c r="M2497" s="1704"/>
    </row>
    <row r="2498" spans="5:13" ht="15">
      <c r="E2498" s="1645"/>
      <c r="F2498" s="1707"/>
      <c r="G2498" s="1707"/>
      <c r="H2498" s="1707"/>
      <c r="I2498" s="1707"/>
      <c r="J2498" s="1707"/>
      <c r="K2498" s="1707"/>
      <c r="L2498" s="1704"/>
      <c r="M2498" s="1704"/>
    </row>
    <row r="2499" spans="5:13" ht="15">
      <c r="E2499" s="1645"/>
      <c r="F2499" s="1707"/>
      <c r="G2499" s="1707"/>
      <c r="H2499" s="1707"/>
      <c r="I2499" s="1707"/>
      <c r="J2499" s="1707"/>
      <c r="K2499" s="1707"/>
      <c r="L2499" s="1704"/>
      <c r="M2499" s="1704"/>
    </row>
    <row r="2500" spans="5:13" ht="15">
      <c r="E2500" s="1645"/>
      <c r="F2500" s="1707"/>
      <c r="G2500" s="1707"/>
      <c r="H2500" s="1707"/>
      <c r="I2500" s="1707"/>
      <c r="J2500" s="1707"/>
      <c r="K2500" s="1707"/>
      <c r="L2500" s="1704"/>
      <c r="M2500" s="1704"/>
    </row>
    <row r="2501" spans="5:13" ht="15">
      <c r="E2501" s="1645"/>
      <c r="F2501" s="1707"/>
      <c r="G2501" s="1707"/>
      <c r="H2501" s="1707"/>
      <c r="I2501" s="1707"/>
      <c r="J2501" s="1707"/>
      <c r="K2501" s="1707"/>
      <c r="L2501" s="1704"/>
      <c r="M2501" s="1704"/>
    </row>
    <row r="2502" spans="5:13" ht="15">
      <c r="E2502" s="1645"/>
      <c r="F2502" s="1707"/>
      <c r="G2502" s="1707"/>
      <c r="H2502" s="1707"/>
      <c r="I2502" s="1707"/>
      <c r="J2502" s="1707"/>
      <c r="K2502" s="1707"/>
      <c r="L2502" s="1704"/>
      <c r="M2502" s="1704"/>
    </row>
    <row r="2503" spans="5:13" ht="15">
      <c r="E2503" s="1645"/>
      <c r="F2503" s="1707"/>
      <c r="G2503" s="1707"/>
      <c r="H2503" s="1707"/>
      <c r="I2503" s="1707"/>
      <c r="J2503" s="1707"/>
      <c r="K2503" s="1707"/>
      <c r="L2503" s="1704"/>
      <c r="M2503" s="1704"/>
    </row>
    <row r="2504" spans="5:13" ht="15">
      <c r="E2504" s="1645"/>
      <c r="F2504" s="1707"/>
      <c r="G2504" s="1707"/>
      <c r="H2504" s="1707"/>
      <c r="I2504" s="1707"/>
      <c r="J2504" s="1707"/>
      <c r="K2504" s="1707"/>
      <c r="L2504" s="1704"/>
      <c r="M2504" s="1704"/>
    </row>
    <row r="2505" spans="5:13" ht="15">
      <c r="E2505" s="1645"/>
      <c r="F2505" s="1707"/>
      <c r="G2505" s="1707"/>
      <c r="H2505" s="1707"/>
      <c r="I2505" s="1707"/>
      <c r="J2505" s="1707"/>
      <c r="K2505" s="1707"/>
      <c r="L2505" s="1704"/>
      <c r="M2505" s="1704"/>
    </row>
    <row r="2506" spans="5:13" ht="15">
      <c r="E2506" s="1645"/>
      <c r="F2506" s="1707"/>
      <c r="G2506" s="1707"/>
      <c r="H2506" s="1707"/>
      <c r="I2506" s="1707"/>
      <c r="J2506" s="1707"/>
      <c r="K2506" s="1707"/>
      <c r="L2506" s="1704"/>
      <c r="M2506" s="1704"/>
    </row>
    <row r="2507" spans="5:13" ht="15">
      <c r="E2507" s="1645"/>
      <c r="F2507" s="1707"/>
      <c r="G2507" s="1707"/>
      <c r="H2507" s="1707"/>
      <c r="I2507" s="1707"/>
      <c r="J2507" s="1707"/>
      <c r="K2507" s="1707"/>
      <c r="L2507" s="1704"/>
      <c r="M2507" s="1704"/>
    </row>
    <row r="2508" spans="5:13" ht="15">
      <c r="E2508" s="1645"/>
      <c r="F2508" s="1707"/>
      <c r="G2508" s="1707"/>
      <c r="H2508" s="1707"/>
      <c r="I2508" s="1707"/>
      <c r="J2508" s="1707"/>
      <c r="K2508" s="1707"/>
      <c r="L2508" s="1704"/>
      <c r="M2508" s="1704"/>
    </row>
    <row r="2509" spans="5:13" ht="15">
      <c r="E2509" s="1645"/>
      <c r="F2509" s="1707"/>
      <c r="G2509" s="1707"/>
      <c r="H2509" s="1707"/>
      <c r="I2509" s="1707"/>
      <c r="J2509" s="1707"/>
      <c r="K2509" s="1707"/>
      <c r="L2509" s="1704"/>
      <c r="M2509" s="1704"/>
    </row>
    <row r="2510" spans="5:13" ht="15">
      <c r="E2510" s="1645"/>
      <c r="F2510" s="1707"/>
      <c r="G2510" s="1707"/>
      <c r="H2510" s="1707"/>
      <c r="I2510" s="1707"/>
      <c r="J2510" s="1707"/>
      <c r="K2510" s="1707"/>
      <c r="L2510" s="1704"/>
      <c r="M2510" s="1704"/>
    </row>
    <row r="2511" spans="5:13" ht="15">
      <c r="E2511" s="1645"/>
      <c r="F2511" s="1707"/>
      <c r="G2511" s="1707"/>
      <c r="H2511" s="1707"/>
      <c r="I2511" s="1707"/>
      <c r="J2511" s="1707"/>
      <c r="K2511" s="1707"/>
      <c r="L2511" s="1704"/>
      <c r="M2511" s="1704"/>
    </row>
    <row r="2512" spans="5:13" ht="15">
      <c r="E2512" s="1645"/>
      <c r="F2512" s="1707"/>
      <c r="G2512" s="1707"/>
      <c r="H2512" s="1707"/>
      <c r="I2512" s="1707"/>
      <c r="J2512" s="1707"/>
      <c r="K2512" s="1707"/>
      <c r="L2512" s="1704"/>
      <c r="M2512" s="1704"/>
    </row>
    <row r="2513" spans="5:13" ht="15">
      <c r="E2513" s="1645"/>
      <c r="F2513" s="1707"/>
      <c r="G2513" s="1707"/>
      <c r="H2513" s="1707"/>
      <c r="I2513" s="1707"/>
      <c r="J2513" s="1707"/>
      <c r="K2513" s="1707"/>
      <c r="L2513" s="1704"/>
      <c r="M2513" s="1704"/>
    </row>
    <row r="2514" spans="5:13" ht="15">
      <c r="E2514" s="1645"/>
      <c r="F2514" s="1707"/>
      <c r="G2514" s="1707"/>
      <c r="H2514" s="1707"/>
      <c r="I2514" s="1707"/>
      <c r="J2514" s="1707"/>
      <c r="K2514" s="1707"/>
      <c r="L2514" s="1704"/>
      <c r="M2514" s="1704"/>
    </row>
    <row r="2515" spans="5:13" ht="15">
      <c r="E2515" s="1645"/>
      <c r="F2515" s="1707"/>
      <c r="G2515" s="1707"/>
      <c r="H2515" s="1707"/>
      <c r="I2515" s="1707"/>
      <c r="J2515" s="1707"/>
      <c r="K2515" s="1707"/>
      <c r="L2515" s="1704"/>
      <c r="M2515" s="1704"/>
    </row>
    <row r="2516" spans="5:13" ht="15">
      <c r="E2516" s="1645"/>
      <c r="F2516" s="1707"/>
      <c r="G2516" s="1707"/>
      <c r="H2516" s="1707"/>
      <c r="I2516" s="1707"/>
      <c r="J2516" s="1707"/>
      <c r="K2516" s="1707"/>
      <c r="L2516" s="1704"/>
      <c r="M2516" s="1704"/>
    </row>
    <row r="2517" spans="5:13" ht="15">
      <c r="E2517" s="1645"/>
      <c r="F2517" s="1707"/>
      <c r="G2517" s="1707"/>
      <c r="H2517" s="1707"/>
      <c r="I2517" s="1707"/>
      <c r="J2517" s="1707"/>
      <c r="K2517" s="1707"/>
      <c r="L2517" s="1704"/>
      <c r="M2517" s="1704"/>
    </row>
    <row r="2518" spans="5:13" ht="15">
      <c r="E2518" s="1645"/>
      <c r="F2518" s="1707"/>
      <c r="G2518" s="1707"/>
      <c r="H2518" s="1707"/>
      <c r="I2518" s="1707"/>
      <c r="J2518" s="1707"/>
      <c r="K2518" s="1707"/>
      <c r="L2518" s="1704"/>
      <c r="M2518" s="1704"/>
    </row>
    <row r="2519" spans="5:13" ht="15">
      <c r="E2519" s="1645"/>
      <c r="F2519" s="1707"/>
      <c r="G2519" s="1707"/>
      <c r="H2519" s="1707"/>
      <c r="I2519" s="1707"/>
      <c r="J2519" s="1707"/>
      <c r="K2519" s="1707"/>
      <c r="L2519" s="1704"/>
      <c r="M2519" s="1704"/>
    </row>
    <row r="2520" spans="5:13" ht="15">
      <c r="E2520" s="1645"/>
      <c r="F2520" s="1707"/>
      <c r="G2520" s="1707"/>
      <c r="H2520" s="1707"/>
      <c r="I2520" s="1707"/>
      <c r="J2520" s="1707"/>
      <c r="K2520" s="1707"/>
      <c r="L2520" s="1704"/>
      <c r="M2520" s="1704"/>
    </row>
    <row r="8358" ht="15">
      <c r="E8358" s="1708"/>
    </row>
    <row r="8359" ht="15">
      <c r="E8359" s="1708"/>
    </row>
    <row r="8360" ht="15">
      <c r="E8360" s="1708"/>
    </row>
    <row r="8361" ht="15">
      <c r="E8361" s="1708"/>
    </row>
    <row r="8362" ht="15">
      <c r="E8362" s="1708"/>
    </row>
    <row r="8363" ht="15">
      <c r="E8363" s="1708"/>
    </row>
    <row r="8364" ht="15">
      <c r="E8364" s="1708"/>
    </row>
    <row r="8365" ht="15">
      <c r="E8365" s="1708"/>
    </row>
    <row r="8366" ht="15">
      <c r="E8366" s="1708"/>
    </row>
    <row r="8367" ht="15">
      <c r="E8367" s="1708"/>
    </row>
    <row r="8368" ht="15">
      <c r="E8368" s="1708"/>
    </row>
    <row r="8369" ht="15">
      <c r="E8369" s="1708"/>
    </row>
    <row r="8370" ht="15">
      <c r="E8370" s="1708"/>
    </row>
    <row r="8371" ht="15">
      <c r="E8371" s="1708"/>
    </row>
    <row r="8372" ht="15">
      <c r="E8372" s="1708"/>
    </row>
    <row r="8373" ht="15">
      <c r="E8373" s="1709"/>
    </row>
    <row r="8374" ht="15">
      <c r="E8374" s="1709"/>
    </row>
    <row r="8375" ht="15">
      <c r="E8375" s="1709"/>
    </row>
    <row r="8376" ht="15">
      <c r="E8376" s="1709"/>
    </row>
    <row r="8377" ht="15">
      <c r="E8377" s="1709"/>
    </row>
    <row r="8378" ht="15">
      <c r="E8378" s="1709"/>
    </row>
    <row r="8379" ht="15">
      <c r="E8379" s="1709"/>
    </row>
    <row r="8380" ht="15">
      <c r="E8380" s="1709"/>
    </row>
    <row r="8381" ht="15">
      <c r="E8381" s="1709"/>
    </row>
    <row r="8382" ht="15">
      <c r="E8382" s="1709"/>
    </row>
    <row r="8383" ht="15">
      <c r="E8383" s="1709"/>
    </row>
    <row r="8384" ht="15">
      <c r="E8384" s="1709"/>
    </row>
    <row r="8385" ht="15">
      <c r="E8385" s="1709"/>
    </row>
    <row r="8386" ht="15">
      <c r="E8386" s="1709"/>
    </row>
    <row r="8387" ht="15">
      <c r="E8387" s="1709"/>
    </row>
    <row r="8388" ht="15">
      <c r="E8388" s="1709"/>
    </row>
    <row r="8389" ht="15">
      <c r="E8389" s="1709"/>
    </row>
    <row r="8390" ht="15">
      <c r="E8390" s="1709"/>
    </row>
    <row r="8391" ht="15">
      <c r="E8391" s="1709"/>
    </row>
    <row r="8392" ht="15">
      <c r="E8392" s="1709"/>
    </row>
    <row r="8393" ht="15">
      <c r="E8393" s="1709"/>
    </row>
    <row r="8394" ht="15">
      <c r="E8394" s="1709"/>
    </row>
    <row r="8395" ht="15">
      <c r="E8395" s="1709"/>
    </row>
    <row r="8396" ht="15">
      <c r="E8396" s="1709"/>
    </row>
    <row r="8397" ht="15">
      <c r="E8397" s="1709"/>
    </row>
    <row r="8398" ht="15">
      <c r="E8398" s="1709"/>
    </row>
    <row r="8399" ht="15">
      <c r="E8399" s="1709"/>
    </row>
    <row r="8400" spans="1:13" ht="15">
      <c r="A8400" s="1710"/>
      <c r="B8400" s="1711"/>
      <c r="C8400" s="1711"/>
      <c r="E8400" s="1709"/>
      <c r="F8400" s="1712"/>
      <c r="G8400" s="1712"/>
      <c r="H8400" s="1712"/>
      <c r="I8400" s="1712"/>
      <c r="J8400" s="1712"/>
      <c r="K8400" s="1712"/>
      <c r="L8400" s="1713"/>
      <c r="M8400" s="1714"/>
    </row>
    <row r="8401" spans="1:13" ht="15">
      <c r="A8401" s="1715"/>
      <c r="B8401" s="1716"/>
      <c r="C8401" s="1717"/>
      <c r="D8401" s="1718"/>
      <c r="E8401" s="1582"/>
      <c r="F8401" s="1640"/>
      <c r="G8401" s="1640"/>
      <c r="H8401" s="1640"/>
      <c r="I8401" s="1640"/>
      <c r="J8401" s="1640"/>
      <c r="K8401" s="1640"/>
      <c r="L8401" s="1640"/>
      <c r="M8401" s="1640"/>
    </row>
  </sheetData>
  <mergeCells count="4">
    <mergeCell ref="F1:L1"/>
    <mergeCell ref="E1:E2"/>
    <mergeCell ref="A1:A2"/>
    <mergeCell ref="A618:M618"/>
  </mergeCells>
  <printOptions horizontalCentered="1" verticalCentered="1"/>
  <pageMargins left="0.3937007874015748" right="0.3937007874015748" top="0.5905511811023623" bottom="0.3937007874015748" header="0.2362204724409449" footer="0.1968503937007874"/>
  <pageSetup fitToHeight="60" fitToWidth="1" horizontalDpi="600" verticalDpi="600" orientation="landscape" paperSize="9" scale="45" r:id="rId2"/>
  <headerFooter alignWithMargins="0">
    <oddHeader>&amp;C&amp;"Times New Roman CE,Kursywa"&amp;20Budżet gminy Łęczna na 2007 rok - Wydatki&amp;R&amp;"Times New Roman,Kursywa"&amp;24Załącznik Nr 2</oddHeader>
  </headerFooter>
  <rowBreaks count="2" manualBreakCount="2">
    <brk id="149" max="65535" man="1"/>
    <brk id="269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90" zoomScaleNormal="90" workbookViewId="0" topLeftCell="A1">
      <selection activeCell="D32" sqref="A1:D32"/>
    </sheetView>
  </sheetViews>
  <sheetFormatPr defaultColWidth="9.00390625" defaultRowHeight="12.75"/>
  <cols>
    <col min="1" max="1" width="6.00390625" style="1582" customWidth="1"/>
    <col min="2" max="2" width="2.625" style="1582" customWidth="1"/>
    <col min="3" max="3" width="73.625" style="1582" customWidth="1"/>
    <col min="4" max="4" width="29.00390625" style="1582" customWidth="1"/>
    <col min="5" max="16384" width="11.375" style="1582" customWidth="1"/>
  </cols>
  <sheetData>
    <row r="1" spans="1:4" ht="57.75" customHeight="1">
      <c r="A1" s="1969" t="s">
        <v>476</v>
      </c>
      <c r="B1" s="1962"/>
      <c r="C1" s="1962"/>
      <c r="D1" s="1962"/>
    </row>
    <row r="3" spans="1:4" ht="34.5" customHeight="1">
      <c r="A3" s="1722" t="s">
        <v>708</v>
      </c>
      <c r="B3" s="1723"/>
      <c r="C3" s="1724" t="s">
        <v>481</v>
      </c>
      <c r="D3" s="1722" t="s">
        <v>482</v>
      </c>
    </row>
    <row r="4" spans="1:4" ht="34.5" customHeight="1">
      <c r="A4" s="1725" t="s">
        <v>682</v>
      </c>
      <c r="B4" s="1726"/>
      <c r="C4" s="1727" t="s">
        <v>506</v>
      </c>
      <c r="D4" s="1733">
        <f>24600+603157</f>
        <v>627757</v>
      </c>
    </row>
    <row r="5" spans="1:4" ht="37.5" customHeight="1">
      <c r="A5" s="1725" t="s">
        <v>700</v>
      </c>
      <c r="B5" s="1726"/>
      <c r="C5" s="1728" t="s">
        <v>483</v>
      </c>
      <c r="D5" s="1729" t="s">
        <v>526</v>
      </c>
    </row>
    <row r="6" spans="1:4" s="1630" customFormat="1" ht="42" customHeight="1">
      <c r="A6" s="1730" t="s">
        <v>701</v>
      </c>
      <c r="B6" s="1731"/>
      <c r="C6" s="1732" t="s">
        <v>484</v>
      </c>
      <c r="D6" s="1733">
        <v>4000000</v>
      </c>
    </row>
    <row r="7" spans="1:4" ht="42" customHeight="1">
      <c r="A7" s="1725" t="s">
        <v>702</v>
      </c>
      <c r="B7" s="1726"/>
      <c r="C7" s="1727" t="s">
        <v>466</v>
      </c>
      <c r="D7" s="1733">
        <v>960000</v>
      </c>
    </row>
    <row r="8" spans="1:4" ht="69" customHeight="1">
      <c r="A8" s="1725" t="s">
        <v>703</v>
      </c>
      <c r="B8" s="1726"/>
      <c r="C8" s="1727" t="s">
        <v>502</v>
      </c>
      <c r="D8" s="1729" t="s">
        <v>526</v>
      </c>
    </row>
    <row r="9" spans="1:4" ht="36.75" customHeight="1">
      <c r="A9" s="1725" t="s">
        <v>704</v>
      </c>
      <c r="B9" s="1726"/>
      <c r="C9" s="1728" t="s">
        <v>485</v>
      </c>
      <c r="D9" s="1729" t="s">
        <v>526</v>
      </c>
    </row>
    <row r="10" spans="1:4" ht="36" customHeight="1" thickBot="1">
      <c r="A10" s="1725" t="s">
        <v>505</v>
      </c>
      <c r="B10" s="1726"/>
      <c r="C10" s="1728" t="s">
        <v>486</v>
      </c>
      <c r="D10" s="1729" t="s">
        <v>526</v>
      </c>
    </row>
    <row r="11" spans="1:4" ht="45.75" customHeight="1" thickBot="1" thickTop="1">
      <c r="A11" s="1734"/>
      <c r="B11" s="1735"/>
      <c r="C11" s="1736" t="s">
        <v>487</v>
      </c>
      <c r="D11" s="1737">
        <f>SUM(D4:D10)</f>
        <v>5587757</v>
      </c>
    </row>
    <row r="12" spans="1:4" ht="18.75" customHeight="1" thickTop="1">
      <c r="A12" s="1738"/>
      <c r="B12" s="1738"/>
      <c r="C12" s="1739"/>
      <c r="D12" s="1740"/>
    </row>
    <row r="13" spans="1:4" ht="21" customHeight="1">
      <c r="A13" s="1738"/>
      <c r="B13" s="1738"/>
      <c r="C13" s="1739"/>
      <c r="D13" s="1740"/>
    </row>
    <row r="14" spans="1:4" ht="34.5" customHeight="1">
      <c r="A14" s="1722" t="s">
        <v>708</v>
      </c>
      <c r="B14" s="1723"/>
      <c r="C14" s="1724" t="s">
        <v>488</v>
      </c>
      <c r="D14" s="1722" t="s">
        <v>482</v>
      </c>
    </row>
    <row r="15" spans="1:4" ht="36" customHeight="1">
      <c r="A15" s="1725" t="s">
        <v>682</v>
      </c>
      <c r="B15" s="1726"/>
      <c r="C15" s="1728" t="s">
        <v>489</v>
      </c>
      <c r="D15" s="1741">
        <v>1650000</v>
      </c>
    </row>
    <row r="16" spans="1:4" ht="36" customHeight="1">
      <c r="A16" s="1725" t="s">
        <v>700</v>
      </c>
      <c r="B16" s="1726"/>
      <c r="C16" s="1727" t="s">
        <v>504</v>
      </c>
      <c r="D16" s="1741">
        <v>1123000</v>
      </c>
    </row>
    <row r="17" spans="1:4" ht="72.75" customHeight="1">
      <c r="A17" s="1725" t="s">
        <v>701</v>
      </c>
      <c r="B17" s="1726"/>
      <c r="C17" s="1728" t="s">
        <v>503</v>
      </c>
      <c r="D17" s="1741">
        <v>609621</v>
      </c>
    </row>
    <row r="18" spans="1:4" ht="36" customHeight="1">
      <c r="A18" s="1725" t="s">
        <v>702</v>
      </c>
      <c r="B18" s="1726"/>
      <c r="C18" s="1728" t="s">
        <v>490</v>
      </c>
      <c r="D18" s="1729" t="s">
        <v>526</v>
      </c>
    </row>
    <row r="19" spans="1:4" ht="36" customHeight="1" thickBot="1">
      <c r="A19" s="1725" t="s">
        <v>703</v>
      </c>
      <c r="B19" s="1726"/>
      <c r="C19" s="1728" t="s">
        <v>491</v>
      </c>
      <c r="D19" s="1729" t="s">
        <v>526</v>
      </c>
    </row>
    <row r="20" spans="1:4" ht="45.75" customHeight="1" thickBot="1" thickTop="1">
      <c r="A20" s="1734"/>
      <c r="B20" s="1735"/>
      <c r="C20" s="1736" t="s">
        <v>492</v>
      </c>
      <c r="D20" s="1742">
        <f>SUM(D15:D19)</f>
        <v>3382621</v>
      </c>
    </row>
    <row r="21" ht="30" customHeight="1" thickTop="1"/>
    <row r="22" spans="1:4" s="1747" customFormat="1" ht="25.5" customHeight="1">
      <c r="A22" s="1743" t="s">
        <v>493</v>
      </c>
      <c r="B22" s="1744"/>
      <c r="C22" s="1745" t="s">
        <v>494</v>
      </c>
      <c r="D22" s="1746"/>
    </row>
    <row r="23" spans="1:4" s="1747" customFormat="1" ht="24.75" customHeight="1">
      <c r="A23" s="1743"/>
      <c r="B23" s="1744"/>
      <c r="C23" s="1748" t="s">
        <v>495</v>
      </c>
      <c r="D23" s="1746">
        <v>960000</v>
      </c>
    </row>
    <row r="24" spans="1:4" s="1747" customFormat="1" ht="24.75" customHeight="1">
      <c r="A24" s="1743"/>
      <c r="B24" s="1744"/>
      <c r="C24" s="1748" t="s">
        <v>496</v>
      </c>
      <c r="D24" s="1746">
        <v>4000000</v>
      </c>
    </row>
    <row r="25" spans="1:4" s="1747" customFormat="1" ht="24.75" customHeight="1">
      <c r="A25" s="1743"/>
      <c r="B25" s="1744"/>
      <c r="C25" s="1749" t="s">
        <v>507</v>
      </c>
      <c r="D25" s="1750">
        <f>D4</f>
        <v>627757</v>
      </c>
    </row>
    <row r="26" spans="1:4" s="1747" customFormat="1" ht="24.75" customHeight="1">
      <c r="A26" s="1743"/>
      <c r="B26" s="1744"/>
      <c r="C26" s="1748" t="s">
        <v>497</v>
      </c>
      <c r="D26" s="1751" t="s">
        <v>705</v>
      </c>
    </row>
    <row r="27" spans="1:4" s="1747" customFormat="1" ht="24.75" customHeight="1">
      <c r="A27" s="1743"/>
      <c r="B27" s="1744"/>
      <c r="C27" s="1748" t="s">
        <v>498</v>
      </c>
      <c r="D27" s="1746" t="s">
        <v>705</v>
      </c>
    </row>
    <row r="28" spans="1:4" s="1747" customFormat="1" ht="20.25">
      <c r="A28" s="1743"/>
      <c r="B28" s="1744"/>
      <c r="C28" s="1748"/>
      <c r="D28" s="1751"/>
    </row>
    <row r="29" spans="1:4" s="1747" customFormat="1" ht="45.75" customHeight="1">
      <c r="A29" s="1743" t="s">
        <v>499</v>
      </c>
      <c r="B29" s="1744"/>
      <c r="C29" s="1745" t="s">
        <v>500</v>
      </c>
      <c r="D29" s="1746"/>
    </row>
    <row r="30" spans="1:4" s="1747" customFormat="1" ht="24.75" customHeight="1">
      <c r="A30" s="1743"/>
      <c r="B30" s="1744"/>
      <c r="C30" s="1748" t="s">
        <v>501</v>
      </c>
      <c r="D30" s="1746">
        <f>1650000+1123000+609621</f>
        <v>3382621</v>
      </c>
    </row>
    <row r="31" spans="1:4" s="1747" customFormat="1" ht="24.75" customHeight="1">
      <c r="A31" s="1744"/>
      <c r="B31" s="1744"/>
      <c r="C31" s="1748" t="s">
        <v>473</v>
      </c>
      <c r="D31" s="1752" t="s">
        <v>705</v>
      </c>
    </row>
    <row r="32" spans="1:4" s="1747" customFormat="1" ht="24.75" customHeight="1">
      <c r="A32" s="1744"/>
      <c r="B32" s="1744"/>
      <c r="C32" s="1748" t="s">
        <v>474</v>
      </c>
      <c r="D32" s="1752" t="s">
        <v>705</v>
      </c>
    </row>
  </sheetData>
  <mergeCells count="1">
    <mergeCell ref="A1:D1"/>
  </mergeCells>
  <printOptions horizontalCentered="1"/>
  <pageMargins left="0.5905511811023623" right="0.3937007874015748" top="0.7874015748031497" bottom="0.7874015748031497" header="0.3937007874015748" footer="0.3937007874015748"/>
  <pageSetup fitToHeight="1" fitToWidth="1" horizontalDpi="300" verticalDpi="300" orientation="portrait" paperSize="9" scale="67" r:id="rId1"/>
  <headerFooter alignWithMargins="0">
    <oddHeader>&amp;R&amp;"Times New Roman CE,Kursywa"&amp;18Załącznik Nr 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24">
      <selection activeCell="A1" sqref="A1:O35"/>
    </sheetView>
  </sheetViews>
  <sheetFormatPr defaultColWidth="9.00390625" defaultRowHeight="12.75"/>
  <cols>
    <col min="1" max="1" width="5.625" style="1974" customWidth="1"/>
    <col min="2" max="2" width="6.875" style="1974" customWidth="1"/>
    <col min="3" max="3" width="7.75390625" style="1974" customWidth="1"/>
    <col min="4" max="4" width="4.875" style="1974" customWidth="1"/>
    <col min="5" max="5" width="28.75390625" style="1974" customWidth="1"/>
    <col min="6" max="6" width="12.00390625" style="1974" customWidth="1"/>
    <col min="7" max="7" width="12.375" style="1974" customWidth="1"/>
    <col min="8" max="9" width="10.125" style="1974" customWidth="1"/>
    <col min="10" max="10" width="12.625" style="1974" customWidth="1"/>
    <col min="11" max="11" width="14.375" style="1974" customWidth="1"/>
    <col min="12" max="12" width="11.00390625" style="1974" customWidth="1"/>
    <col min="13" max="13" width="9.875" style="1974" customWidth="1"/>
    <col min="14" max="14" width="10.875" style="1974" customWidth="1"/>
    <col min="15" max="15" width="16.75390625" style="1974" customWidth="1"/>
    <col min="16" max="16384" width="9.125" style="1974" customWidth="1"/>
  </cols>
  <sheetData>
    <row r="1" spans="1:15" ht="18">
      <c r="A1" s="2021" t="s">
        <v>966</v>
      </c>
      <c r="B1" s="2021"/>
      <c r="C1" s="2021"/>
      <c r="D1" s="2021"/>
      <c r="E1" s="2021"/>
      <c r="F1" s="2021"/>
      <c r="G1" s="2021"/>
      <c r="H1" s="2021"/>
      <c r="I1" s="2021"/>
      <c r="J1" s="2021"/>
      <c r="K1" s="2021"/>
      <c r="L1" s="2021"/>
      <c r="M1" s="2021"/>
      <c r="N1" s="2021"/>
      <c r="O1" s="2021"/>
    </row>
    <row r="2" spans="1:15" ht="10.5" customHeight="1">
      <c r="A2" s="1973"/>
      <c r="B2" s="1973"/>
      <c r="C2" s="1973"/>
      <c r="D2" s="1973"/>
      <c r="E2" s="1973"/>
      <c r="F2" s="1973"/>
      <c r="G2" s="1973"/>
      <c r="H2" s="1973"/>
      <c r="I2" s="1973"/>
      <c r="J2" s="1973"/>
      <c r="K2" s="1973"/>
      <c r="L2" s="1973"/>
      <c r="M2" s="1973"/>
      <c r="N2" s="1973"/>
      <c r="O2" s="1975" t="s">
        <v>1096</v>
      </c>
    </row>
    <row r="3" spans="1:15" s="1976" customFormat="1" ht="19.5" customHeight="1">
      <c r="A3" s="2020" t="s">
        <v>708</v>
      </c>
      <c r="B3" s="2020" t="s">
        <v>1191</v>
      </c>
      <c r="C3" s="2020" t="s">
        <v>923</v>
      </c>
      <c r="D3" s="2020" t="s">
        <v>924</v>
      </c>
      <c r="E3" s="1963" t="s">
        <v>925</v>
      </c>
      <c r="F3" s="1963" t="s">
        <v>926</v>
      </c>
      <c r="G3" s="1963" t="s">
        <v>927</v>
      </c>
      <c r="H3" s="1963"/>
      <c r="I3" s="1963"/>
      <c r="J3" s="1963"/>
      <c r="K3" s="1963"/>
      <c r="L3" s="1963"/>
      <c r="M3" s="1963"/>
      <c r="N3" s="1963"/>
      <c r="O3" s="1963" t="s">
        <v>928</v>
      </c>
    </row>
    <row r="4" spans="1:15" s="1976" customFormat="1" ht="19.5" customHeight="1">
      <c r="A4" s="2020"/>
      <c r="B4" s="2020"/>
      <c r="C4" s="2020"/>
      <c r="D4" s="2020"/>
      <c r="E4" s="1963"/>
      <c r="F4" s="1963"/>
      <c r="G4" s="1963" t="s">
        <v>929</v>
      </c>
      <c r="H4" s="1963" t="s">
        <v>930</v>
      </c>
      <c r="I4" s="1963"/>
      <c r="J4" s="1963"/>
      <c r="K4" s="1963"/>
      <c r="L4" s="1963" t="s">
        <v>931</v>
      </c>
      <c r="M4" s="1963" t="s">
        <v>932</v>
      </c>
      <c r="N4" s="1963" t="s">
        <v>933</v>
      </c>
      <c r="O4" s="1963"/>
    </row>
    <row r="5" spans="1:15" s="1976" customFormat="1" ht="29.25" customHeight="1">
      <c r="A5" s="2020"/>
      <c r="B5" s="2020"/>
      <c r="C5" s="2020"/>
      <c r="D5" s="2020"/>
      <c r="E5" s="1963"/>
      <c r="F5" s="1963"/>
      <c r="G5" s="1963"/>
      <c r="H5" s="1963" t="s">
        <v>934</v>
      </c>
      <c r="I5" s="1963" t="s">
        <v>935</v>
      </c>
      <c r="J5" s="1963" t="s">
        <v>936</v>
      </c>
      <c r="K5" s="1963" t="s">
        <v>937</v>
      </c>
      <c r="L5" s="1963"/>
      <c r="M5" s="1963"/>
      <c r="N5" s="1963"/>
      <c r="O5" s="1963"/>
    </row>
    <row r="6" spans="1:15" s="1976" customFormat="1" ht="19.5" customHeight="1">
      <c r="A6" s="2020"/>
      <c r="B6" s="2020"/>
      <c r="C6" s="2020"/>
      <c r="D6" s="2020"/>
      <c r="E6" s="1963"/>
      <c r="F6" s="1963"/>
      <c r="G6" s="1963"/>
      <c r="H6" s="1963"/>
      <c r="I6" s="1963"/>
      <c r="J6" s="1963"/>
      <c r="K6" s="1963"/>
      <c r="L6" s="1963"/>
      <c r="M6" s="1963"/>
      <c r="N6" s="1963"/>
      <c r="O6" s="1963"/>
    </row>
    <row r="7" spans="1:15" s="1976" customFormat="1" ht="6" customHeight="1">
      <c r="A7" s="2020"/>
      <c r="B7" s="2020"/>
      <c r="C7" s="2020"/>
      <c r="D7" s="2020"/>
      <c r="E7" s="1963"/>
      <c r="F7" s="1963"/>
      <c r="G7" s="1963"/>
      <c r="H7" s="1963"/>
      <c r="I7" s="1963"/>
      <c r="J7" s="1963"/>
      <c r="K7" s="1963"/>
      <c r="L7" s="1963"/>
      <c r="M7" s="1963"/>
      <c r="N7" s="1963"/>
      <c r="O7" s="1963"/>
    </row>
    <row r="8" spans="1:15" ht="14.25" customHeight="1">
      <c r="A8" s="1977">
        <v>1</v>
      </c>
      <c r="B8" s="1977">
        <v>2</v>
      </c>
      <c r="C8" s="1977">
        <v>3</v>
      </c>
      <c r="D8" s="1977">
        <v>4</v>
      </c>
      <c r="E8" s="1977">
        <v>5</v>
      </c>
      <c r="F8" s="1977">
        <v>6</v>
      </c>
      <c r="G8" s="1977">
        <v>7</v>
      </c>
      <c r="H8" s="1977">
        <v>8</v>
      </c>
      <c r="I8" s="1977">
        <v>9</v>
      </c>
      <c r="J8" s="1977">
        <v>10</v>
      </c>
      <c r="K8" s="1977">
        <v>11</v>
      </c>
      <c r="L8" s="1977">
        <v>12</v>
      </c>
      <c r="M8" s="1977"/>
      <c r="N8" s="1977">
        <v>13</v>
      </c>
      <c r="O8" s="1977">
        <v>14</v>
      </c>
    </row>
    <row r="9" spans="1:15" s="1983" customFormat="1" ht="51.75" customHeight="1">
      <c r="A9" s="1978">
        <v>1</v>
      </c>
      <c r="B9" s="1979">
        <v>600</v>
      </c>
      <c r="C9" s="1979">
        <v>60016</v>
      </c>
      <c r="D9" s="1979"/>
      <c r="E9" s="1980" t="s">
        <v>938</v>
      </c>
      <c r="F9" s="1981">
        <v>7831534</v>
      </c>
      <c r="G9" s="1981">
        <v>285000</v>
      </c>
      <c r="H9" s="1981">
        <v>285000</v>
      </c>
      <c r="I9" s="1981">
        <v>0</v>
      </c>
      <c r="J9" s="1982" t="s">
        <v>939</v>
      </c>
      <c r="K9" s="1981">
        <v>0</v>
      </c>
      <c r="L9" s="1981">
        <v>2312800</v>
      </c>
      <c r="M9" s="1981">
        <v>2312800</v>
      </c>
      <c r="N9" s="1981">
        <v>2312800</v>
      </c>
      <c r="O9" s="1980" t="s">
        <v>23</v>
      </c>
    </row>
    <row r="10" spans="1:15" s="1983" customFormat="1" ht="54.75" customHeight="1">
      <c r="A10" s="1984">
        <v>2</v>
      </c>
      <c r="B10" s="1985">
        <v>600</v>
      </c>
      <c r="C10" s="1985">
        <v>60016</v>
      </c>
      <c r="D10" s="1985"/>
      <c r="E10" s="1988" t="s">
        <v>940</v>
      </c>
      <c r="F10" s="1989">
        <v>2700000</v>
      </c>
      <c r="G10" s="1989">
        <v>0</v>
      </c>
      <c r="H10" s="1989">
        <v>0</v>
      </c>
      <c r="I10" s="1989">
        <v>0</v>
      </c>
      <c r="J10" s="1990" t="s">
        <v>939</v>
      </c>
      <c r="K10" s="1989">
        <v>0</v>
      </c>
      <c r="L10" s="1989">
        <v>2311393</v>
      </c>
      <c r="M10" s="1989">
        <v>0</v>
      </c>
      <c r="N10" s="1989">
        <v>0</v>
      </c>
      <c r="O10" s="1991" t="s">
        <v>23</v>
      </c>
    </row>
    <row r="11" spans="1:15" s="1983" customFormat="1" ht="55.5" customHeight="1">
      <c r="A11" s="1984">
        <v>3</v>
      </c>
      <c r="B11" s="1985">
        <v>900</v>
      </c>
      <c r="C11" s="1985">
        <v>90095</v>
      </c>
      <c r="D11" s="1985"/>
      <c r="E11" s="1991" t="s">
        <v>941</v>
      </c>
      <c r="F11" s="1989">
        <v>2650000</v>
      </c>
      <c r="G11" s="1989">
        <v>150000</v>
      </c>
      <c r="H11" s="1989">
        <v>150000</v>
      </c>
      <c r="I11" s="1989">
        <v>0</v>
      </c>
      <c r="J11" s="1990" t="s">
        <v>939</v>
      </c>
      <c r="K11" s="1989">
        <v>0</v>
      </c>
      <c r="L11" s="1989">
        <v>1250000</v>
      </c>
      <c r="M11" s="1989">
        <v>1250000</v>
      </c>
      <c r="N11" s="1989">
        <v>0</v>
      </c>
      <c r="O11" s="1991" t="s">
        <v>23</v>
      </c>
    </row>
    <row r="12" spans="1:15" s="1983" customFormat="1" ht="56.25" customHeight="1">
      <c r="A12" s="1984">
        <v>4</v>
      </c>
      <c r="B12" s="1985">
        <v>900</v>
      </c>
      <c r="C12" s="1985">
        <v>90001</v>
      </c>
      <c r="D12" s="1985"/>
      <c r="E12" s="1991" t="s">
        <v>942</v>
      </c>
      <c r="F12" s="1989">
        <v>6017854</v>
      </c>
      <c r="G12" s="1989">
        <v>1200000</v>
      </c>
      <c r="H12" s="1989">
        <v>240000</v>
      </c>
      <c r="I12" s="1989">
        <v>960000</v>
      </c>
      <c r="J12" s="1990" t="s">
        <v>943</v>
      </c>
      <c r="K12" s="1989">
        <v>0</v>
      </c>
      <c r="L12" s="1989">
        <v>2408927</v>
      </c>
      <c r="M12" s="1989">
        <v>2408927</v>
      </c>
      <c r="N12" s="1989">
        <v>0</v>
      </c>
      <c r="O12" s="1991" t="s">
        <v>23</v>
      </c>
    </row>
    <row r="13" spans="1:15" s="1983" customFormat="1" ht="52.5" customHeight="1">
      <c r="A13" s="1984">
        <v>5</v>
      </c>
      <c r="B13" s="1985">
        <v>600</v>
      </c>
      <c r="C13" s="1985">
        <v>60016</v>
      </c>
      <c r="D13" s="1985"/>
      <c r="E13" s="1991" t="s">
        <v>944</v>
      </c>
      <c r="F13" s="1989">
        <v>3699897</v>
      </c>
      <c r="G13" s="1989">
        <v>0</v>
      </c>
      <c r="H13" s="1989">
        <v>0</v>
      </c>
      <c r="I13" s="1989">
        <v>0</v>
      </c>
      <c r="J13" s="1990" t="s">
        <v>939</v>
      </c>
      <c r="K13" s="1989">
        <v>0</v>
      </c>
      <c r="L13" s="1989">
        <v>1220489</v>
      </c>
      <c r="M13" s="1989">
        <v>1220489</v>
      </c>
      <c r="N13" s="1989">
        <v>1220489</v>
      </c>
      <c r="O13" s="1991" t="s">
        <v>23</v>
      </c>
    </row>
    <row r="14" spans="1:15" s="1983" customFormat="1" ht="52.5" customHeight="1">
      <c r="A14" s="1984">
        <v>6</v>
      </c>
      <c r="B14" s="1985">
        <v>600</v>
      </c>
      <c r="C14" s="1985">
        <v>60016</v>
      </c>
      <c r="D14" s="1985"/>
      <c r="E14" s="1991" t="s">
        <v>945</v>
      </c>
      <c r="F14" s="1992">
        <v>1675000</v>
      </c>
      <c r="G14" s="1992">
        <v>0</v>
      </c>
      <c r="H14" s="1992">
        <v>0</v>
      </c>
      <c r="I14" s="1992">
        <v>0</v>
      </c>
      <c r="J14" s="1993" t="s">
        <v>939</v>
      </c>
      <c r="K14" s="1992">
        <v>0</v>
      </c>
      <c r="L14" s="1992">
        <v>585000</v>
      </c>
      <c r="M14" s="1992">
        <v>570000</v>
      </c>
      <c r="N14" s="1992">
        <v>520000</v>
      </c>
      <c r="O14" s="1991" t="s">
        <v>23</v>
      </c>
    </row>
    <row r="15" spans="1:15" s="1983" customFormat="1" ht="53.25" customHeight="1">
      <c r="A15" s="1984">
        <v>7</v>
      </c>
      <c r="B15" s="1985">
        <v>926</v>
      </c>
      <c r="C15" s="1985">
        <v>92695</v>
      </c>
      <c r="D15" s="1985"/>
      <c r="E15" s="1991" t="s">
        <v>946</v>
      </c>
      <c r="F15" s="1992">
        <v>654901</v>
      </c>
      <c r="G15" s="1992">
        <v>100000</v>
      </c>
      <c r="H15" s="1992">
        <v>100000</v>
      </c>
      <c r="I15" s="1992">
        <v>0</v>
      </c>
      <c r="J15" s="1993" t="s">
        <v>939</v>
      </c>
      <c r="K15" s="1992">
        <v>0</v>
      </c>
      <c r="L15" s="1992">
        <v>478454</v>
      </c>
      <c r="M15" s="1992">
        <v>0</v>
      </c>
      <c r="N15" s="1992">
        <v>0</v>
      </c>
      <c r="O15" s="1991" t="s">
        <v>23</v>
      </c>
    </row>
    <row r="16" spans="1:15" s="1983" customFormat="1" ht="52.5" customHeight="1">
      <c r="A16" s="1984">
        <v>8</v>
      </c>
      <c r="B16" s="1985">
        <v>710</v>
      </c>
      <c r="C16" s="1985">
        <v>71035</v>
      </c>
      <c r="D16" s="1985"/>
      <c r="E16" s="1991" t="s">
        <v>947</v>
      </c>
      <c r="F16" s="1992">
        <v>5984748</v>
      </c>
      <c r="G16" s="1992">
        <v>500000</v>
      </c>
      <c r="H16" s="1992">
        <v>500000</v>
      </c>
      <c r="I16" s="1992">
        <v>0</v>
      </c>
      <c r="J16" s="1993" t="s">
        <v>939</v>
      </c>
      <c r="K16" s="1992">
        <v>0</v>
      </c>
      <c r="L16" s="1992">
        <v>1192480</v>
      </c>
      <c r="M16" s="1992">
        <v>1192480</v>
      </c>
      <c r="N16" s="1992">
        <v>1192480</v>
      </c>
      <c r="O16" s="1991" t="s">
        <v>23</v>
      </c>
    </row>
    <row r="17" spans="1:15" s="1983" customFormat="1" ht="51.75" customHeight="1">
      <c r="A17" s="1984">
        <v>9</v>
      </c>
      <c r="B17" s="1985">
        <v>600</v>
      </c>
      <c r="C17" s="1985">
        <v>60016</v>
      </c>
      <c r="D17" s="1985"/>
      <c r="E17" s="1991" t="s">
        <v>948</v>
      </c>
      <c r="F17" s="1992">
        <v>2030000</v>
      </c>
      <c r="G17" s="1992">
        <v>0</v>
      </c>
      <c r="H17" s="1992">
        <v>0</v>
      </c>
      <c r="I17" s="1992">
        <v>0</v>
      </c>
      <c r="J17" s="1993" t="s">
        <v>939</v>
      </c>
      <c r="K17" s="1992">
        <v>0</v>
      </c>
      <c r="L17" s="1992">
        <v>400000</v>
      </c>
      <c r="M17" s="1992">
        <v>600000</v>
      </c>
      <c r="N17" s="1992">
        <v>1000000</v>
      </c>
      <c r="O17" s="1991" t="s">
        <v>23</v>
      </c>
    </row>
    <row r="18" spans="1:15" s="1983" customFormat="1" ht="53.25" customHeight="1">
      <c r="A18" s="1984">
        <v>10</v>
      </c>
      <c r="B18" s="1985">
        <v>801</v>
      </c>
      <c r="C18" s="1985">
        <v>80101</v>
      </c>
      <c r="D18" s="1985"/>
      <c r="E18" s="1991" t="s">
        <v>949</v>
      </c>
      <c r="F18" s="1992">
        <v>3684529</v>
      </c>
      <c r="G18" s="1992">
        <v>0</v>
      </c>
      <c r="H18" s="1992">
        <v>0</v>
      </c>
      <c r="I18" s="1992">
        <v>0</v>
      </c>
      <c r="J18" s="1993" t="s">
        <v>939</v>
      </c>
      <c r="K18" s="1992">
        <v>0</v>
      </c>
      <c r="L18" s="1992">
        <v>490001</v>
      </c>
      <c r="M18" s="1992">
        <v>406249</v>
      </c>
      <c r="N18" s="1992">
        <v>406251</v>
      </c>
      <c r="O18" s="1991" t="s">
        <v>965</v>
      </c>
    </row>
    <row r="19" spans="1:15" s="1983" customFormat="1" ht="51.75" customHeight="1">
      <c r="A19" s="1984">
        <v>11</v>
      </c>
      <c r="B19" s="1985">
        <v>926</v>
      </c>
      <c r="C19" s="1985">
        <v>92695</v>
      </c>
      <c r="D19" s="1985"/>
      <c r="E19" s="1991" t="s">
        <v>950</v>
      </c>
      <c r="F19" s="1992">
        <v>655000</v>
      </c>
      <c r="G19" s="1992">
        <v>0</v>
      </c>
      <c r="H19" s="1992">
        <v>0</v>
      </c>
      <c r="I19" s="1992">
        <v>0</v>
      </c>
      <c r="J19" s="1993" t="s">
        <v>939</v>
      </c>
      <c r="K19" s="1992">
        <v>0</v>
      </c>
      <c r="L19" s="1992">
        <v>345000</v>
      </c>
      <c r="M19" s="1992">
        <v>310000</v>
      </c>
      <c r="N19" s="1992">
        <v>0</v>
      </c>
      <c r="O19" s="1991" t="s">
        <v>23</v>
      </c>
    </row>
    <row r="20" spans="1:15" s="1983" customFormat="1" ht="54.75" customHeight="1">
      <c r="A20" s="1984">
        <v>12</v>
      </c>
      <c r="B20" s="1985">
        <v>600</v>
      </c>
      <c r="C20" s="1985">
        <v>60016</v>
      </c>
      <c r="D20" s="1985"/>
      <c r="E20" s="1991" t="s">
        <v>951</v>
      </c>
      <c r="F20" s="1989">
        <v>4024700</v>
      </c>
      <c r="G20" s="1989">
        <v>603157</v>
      </c>
      <c r="H20" s="1989">
        <v>603157</v>
      </c>
      <c r="I20" s="1989">
        <v>0</v>
      </c>
      <c r="J20" s="1990" t="s">
        <v>939</v>
      </c>
      <c r="K20" s="1989">
        <v>0</v>
      </c>
      <c r="L20" s="1989">
        <v>1817766</v>
      </c>
      <c r="M20" s="1989">
        <v>945321</v>
      </c>
      <c r="N20" s="1989">
        <v>0</v>
      </c>
      <c r="O20" s="1991" t="s">
        <v>23</v>
      </c>
    </row>
    <row r="21" spans="1:15" s="1983" customFormat="1" ht="53.25" customHeight="1">
      <c r="A21" s="1984">
        <v>13</v>
      </c>
      <c r="B21" s="1985">
        <v>600</v>
      </c>
      <c r="C21" s="1985">
        <v>60016</v>
      </c>
      <c r="D21" s="1985"/>
      <c r="E21" s="1991" t="s">
        <v>952</v>
      </c>
      <c r="F21" s="1992">
        <v>855000</v>
      </c>
      <c r="G21" s="1992">
        <v>0</v>
      </c>
      <c r="H21" s="1992">
        <v>0</v>
      </c>
      <c r="I21" s="1992">
        <v>0</v>
      </c>
      <c r="J21" s="1993" t="s">
        <v>939</v>
      </c>
      <c r="K21" s="1992">
        <v>0</v>
      </c>
      <c r="L21" s="1992">
        <v>427500</v>
      </c>
      <c r="M21" s="1992">
        <v>427500</v>
      </c>
      <c r="N21" s="1992">
        <v>0</v>
      </c>
      <c r="O21" s="1991" t="s">
        <v>23</v>
      </c>
    </row>
    <row r="22" spans="1:15" s="1983" customFormat="1" ht="55.5" customHeight="1">
      <c r="A22" s="1984">
        <v>14</v>
      </c>
      <c r="B22" s="1985">
        <v>900</v>
      </c>
      <c r="C22" s="1985">
        <v>90015</v>
      </c>
      <c r="D22" s="1985"/>
      <c r="E22" s="1991" t="s">
        <v>953</v>
      </c>
      <c r="F22" s="1992">
        <v>875003</v>
      </c>
      <c r="G22" s="1992">
        <v>0</v>
      </c>
      <c r="H22" s="1992">
        <v>0</v>
      </c>
      <c r="I22" s="1992"/>
      <c r="J22" s="1993" t="s">
        <v>939</v>
      </c>
      <c r="K22" s="1992">
        <v>0</v>
      </c>
      <c r="L22" s="1992">
        <v>196875</v>
      </c>
      <c r="M22" s="1992">
        <v>196876</v>
      </c>
      <c r="N22" s="1992">
        <v>98438</v>
      </c>
      <c r="O22" s="1991" t="s">
        <v>23</v>
      </c>
    </row>
    <row r="23" spans="1:15" s="1983" customFormat="1" ht="75" customHeight="1">
      <c r="A23" s="1984">
        <v>15</v>
      </c>
      <c r="B23" s="1985">
        <v>600</v>
      </c>
      <c r="C23" s="1985">
        <v>60016</v>
      </c>
      <c r="D23" s="1985"/>
      <c r="E23" s="1991" t="s">
        <v>954</v>
      </c>
      <c r="F23" s="1992">
        <v>30000000</v>
      </c>
      <c r="G23" s="1992">
        <v>0</v>
      </c>
      <c r="H23" s="1992">
        <v>0</v>
      </c>
      <c r="I23" s="1992">
        <v>0</v>
      </c>
      <c r="J23" s="1993" t="s">
        <v>939</v>
      </c>
      <c r="K23" s="1992">
        <v>0</v>
      </c>
      <c r="L23" s="1992">
        <v>300000</v>
      </c>
      <c r="M23" s="1992">
        <v>1000000</v>
      </c>
      <c r="N23" s="1992">
        <v>15000000</v>
      </c>
      <c r="O23" s="1991" t="s">
        <v>23</v>
      </c>
    </row>
    <row r="24" spans="1:15" s="1983" customFormat="1" ht="108" customHeight="1">
      <c r="A24" s="1984">
        <v>16</v>
      </c>
      <c r="B24" s="1985">
        <v>750</v>
      </c>
      <c r="C24" s="1985">
        <v>75020</v>
      </c>
      <c r="D24" s="1985"/>
      <c r="E24" s="1991" t="s">
        <v>955</v>
      </c>
      <c r="F24" s="1992">
        <v>96600</v>
      </c>
      <c r="G24" s="1992">
        <v>34000</v>
      </c>
      <c r="H24" s="1992">
        <v>34000</v>
      </c>
      <c r="I24" s="1992">
        <v>0</v>
      </c>
      <c r="J24" s="1993" t="s">
        <v>939</v>
      </c>
      <c r="K24" s="1992">
        <v>0</v>
      </c>
      <c r="L24" s="1992">
        <v>0</v>
      </c>
      <c r="M24" s="1992"/>
      <c r="N24" s="1992">
        <v>0</v>
      </c>
      <c r="O24" s="1991" t="s">
        <v>23</v>
      </c>
    </row>
    <row r="25" spans="1:15" s="1983" customFormat="1" ht="57" customHeight="1">
      <c r="A25" s="1984">
        <v>17</v>
      </c>
      <c r="B25" s="1985">
        <v>600</v>
      </c>
      <c r="C25" s="1985">
        <v>600616</v>
      </c>
      <c r="D25" s="1985"/>
      <c r="E25" s="1991" t="s">
        <v>956</v>
      </c>
      <c r="F25" s="1989">
        <v>8697063</v>
      </c>
      <c r="G25" s="1989">
        <v>200000</v>
      </c>
      <c r="H25" s="1989">
        <v>200000</v>
      </c>
      <c r="I25" s="1989">
        <v>0</v>
      </c>
      <c r="J25" s="1990" t="s">
        <v>939</v>
      </c>
      <c r="K25" s="1989"/>
      <c r="L25" s="1989">
        <v>2382012</v>
      </c>
      <c r="M25" s="1989">
        <v>1868272</v>
      </c>
      <c r="N25" s="1989">
        <v>3982553</v>
      </c>
      <c r="O25" s="1991" t="s">
        <v>23</v>
      </c>
    </row>
    <row r="26" spans="1:15" s="1983" customFormat="1" ht="66.75" customHeight="1">
      <c r="A26" s="1994">
        <v>18</v>
      </c>
      <c r="B26" s="1995">
        <v>600</v>
      </c>
      <c r="C26" s="1995">
        <v>60016</v>
      </c>
      <c r="D26" s="1995"/>
      <c r="E26" s="1996" t="s">
        <v>957</v>
      </c>
      <c r="F26" s="1997">
        <v>5326248</v>
      </c>
      <c r="G26" s="1997">
        <v>0</v>
      </c>
      <c r="H26" s="1997">
        <v>0</v>
      </c>
      <c r="I26" s="1997">
        <v>0</v>
      </c>
      <c r="J26" s="1998" t="s">
        <v>939</v>
      </c>
      <c r="K26" s="1997">
        <v>0</v>
      </c>
      <c r="L26" s="1997">
        <v>1755017</v>
      </c>
      <c r="M26" s="1997">
        <v>1755017</v>
      </c>
      <c r="N26" s="1997">
        <v>1755018</v>
      </c>
      <c r="O26" s="1996" t="s">
        <v>23</v>
      </c>
    </row>
    <row r="27" spans="1:15" s="1983" customFormat="1" ht="22.5" customHeight="1">
      <c r="A27" s="2019" t="s">
        <v>958</v>
      </c>
      <c r="B27" s="2019"/>
      <c r="C27" s="2019"/>
      <c r="D27" s="2019"/>
      <c r="E27" s="2019"/>
      <c r="F27" s="1999">
        <f>SUM(F9:F26)</f>
        <v>87458077</v>
      </c>
      <c r="G27" s="2000">
        <f>SUM(G9:G26)</f>
        <v>3072157</v>
      </c>
      <c r="H27" s="1999">
        <f>SUM(H9:H26)</f>
        <v>2112157</v>
      </c>
      <c r="I27" s="1999">
        <f>SUM(I9:I26)</f>
        <v>960000</v>
      </c>
      <c r="J27" s="2001"/>
      <c r="K27" s="1999">
        <f>SUM(K9:K26)</f>
        <v>0</v>
      </c>
      <c r="L27" s="1999">
        <f>SUM(L9:L26)</f>
        <v>19873714</v>
      </c>
      <c r="M27" s="1999">
        <f>SUM(M9:M26)</f>
        <v>16463931</v>
      </c>
      <c r="N27" s="1999">
        <f>SUM(N9:N26)</f>
        <v>27488029</v>
      </c>
      <c r="O27" s="2002" t="s">
        <v>959</v>
      </c>
    </row>
    <row r="28" ht="12.75" customHeight="1"/>
    <row r="29" ht="12.75">
      <c r="A29" s="1974" t="s">
        <v>960</v>
      </c>
    </row>
    <row r="30" ht="12.75">
      <c r="A30" s="1974" t="s">
        <v>961</v>
      </c>
    </row>
    <row r="31" ht="12.75">
      <c r="A31" s="1974" t="s">
        <v>962</v>
      </c>
    </row>
    <row r="32" ht="12.75">
      <c r="A32" s="1974" t="s">
        <v>963</v>
      </c>
    </row>
    <row r="33" ht="12.75" customHeight="1"/>
    <row r="34" ht="12.75">
      <c r="A34" s="2003" t="s">
        <v>964</v>
      </c>
    </row>
  </sheetData>
  <mergeCells count="19"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  <mergeCell ref="M4:M7"/>
    <mergeCell ref="L4:L7"/>
    <mergeCell ref="A27:E27"/>
    <mergeCell ref="H4:K4"/>
    <mergeCell ref="H5:H7"/>
    <mergeCell ref="I5:I7"/>
    <mergeCell ref="J5:J7"/>
    <mergeCell ref="K5:K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0" r:id="rId1"/>
  <headerFooter alignWithMargins="0">
    <oddHeader>&amp;R&amp;"Times New Roman,Kursywa"&amp;14Załącznik Nr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85" zoomScaleNormal="85" workbookViewId="0" topLeftCell="A19">
      <selection activeCell="D10" sqref="D10"/>
    </sheetView>
  </sheetViews>
  <sheetFormatPr defaultColWidth="9.00390625" defaultRowHeight="12.75"/>
  <cols>
    <col min="1" max="1" width="4.125" style="1865" customWidth="1"/>
    <col min="2" max="2" width="2.125" style="1865" customWidth="1"/>
    <col min="3" max="3" width="60.875" style="1865" customWidth="1"/>
    <col min="4" max="4" width="23.375" style="1865" customWidth="1"/>
    <col min="5" max="5" width="16.25390625" style="1865" customWidth="1"/>
    <col min="6" max="6" width="27.375" style="1865" customWidth="1"/>
    <col min="7" max="16384" width="11.375" style="1865" customWidth="1"/>
  </cols>
  <sheetData>
    <row r="1" spans="1:6" ht="32.25" customHeight="1">
      <c r="A1" s="2024" t="s">
        <v>465</v>
      </c>
      <c r="B1" s="2025"/>
      <c r="C1" s="2025"/>
      <c r="D1" s="2025"/>
      <c r="E1" s="2025"/>
      <c r="F1" s="2025"/>
    </row>
    <row r="2" ht="13.5" customHeight="1"/>
    <row r="3" spans="1:6" ht="50.25" customHeight="1">
      <c r="A3" s="1866" t="s">
        <v>708</v>
      </c>
      <c r="B3" s="1867"/>
      <c r="C3" s="1868" t="s">
        <v>1173</v>
      </c>
      <c r="D3" s="1867" t="s">
        <v>1174</v>
      </c>
      <c r="E3" s="1866" t="s">
        <v>1175</v>
      </c>
      <c r="F3" s="1866" t="s">
        <v>1176</v>
      </c>
    </row>
    <row r="4" spans="1:6" ht="51.75" customHeight="1">
      <c r="A4" s="1872">
        <v>1</v>
      </c>
      <c r="B4" s="1873"/>
      <c r="C4" s="1871" t="s">
        <v>632</v>
      </c>
      <c r="D4" s="1873" t="s">
        <v>638</v>
      </c>
      <c r="E4" s="1960" t="s">
        <v>639</v>
      </c>
      <c r="F4" s="1874">
        <v>5000</v>
      </c>
    </row>
    <row r="5" spans="1:6" s="1870" customFormat="1" ht="15" customHeight="1">
      <c r="A5" s="1881"/>
      <c r="B5" s="1881"/>
      <c r="C5" s="1882"/>
      <c r="D5" s="1881"/>
      <c r="E5" s="1883"/>
      <c r="F5" s="1884"/>
    </row>
    <row r="6" spans="1:6" ht="51.75" customHeight="1">
      <c r="A6" s="1872">
        <v>2</v>
      </c>
      <c r="B6" s="1873"/>
      <c r="C6" s="1871" t="s">
        <v>163</v>
      </c>
      <c r="D6" s="1873" t="s">
        <v>1171</v>
      </c>
      <c r="E6" s="1869">
        <v>2007</v>
      </c>
      <c r="F6" s="1874">
        <v>1000000</v>
      </c>
    </row>
    <row r="7" spans="1:6" ht="51.75" customHeight="1">
      <c r="A7" s="1872">
        <v>3</v>
      </c>
      <c r="B7" s="1873"/>
      <c r="C7" s="1871" t="s">
        <v>453</v>
      </c>
      <c r="D7" s="1873" t="s">
        <v>1171</v>
      </c>
      <c r="E7" s="1869">
        <v>2007</v>
      </c>
      <c r="F7" s="1874">
        <v>150000</v>
      </c>
    </row>
    <row r="8" spans="1:6" ht="65.25" customHeight="1">
      <c r="A8" s="1875">
        <v>4</v>
      </c>
      <c r="B8" s="1873"/>
      <c r="C8" s="1871" t="s">
        <v>454</v>
      </c>
      <c r="D8" s="1873" t="s">
        <v>1171</v>
      </c>
      <c r="E8" s="1876">
        <v>2007</v>
      </c>
      <c r="F8" s="1874">
        <v>100000</v>
      </c>
    </row>
    <row r="9" spans="1:6" ht="51.75" customHeight="1">
      <c r="A9" s="1875">
        <v>5</v>
      </c>
      <c r="B9" s="1873"/>
      <c r="C9" s="1871" t="s">
        <v>403</v>
      </c>
      <c r="D9" s="1873" t="s">
        <v>1171</v>
      </c>
      <c r="E9" s="1876">
        <v>2007</v>
      </c>
      <c r="F9" s="1874">
        <v>30000</v>
      </c>
    </row>
    <row r="10" spans="1:6" ht="45" customHeight="1">
      <c r="A10" s="1875">
        <v>6</v>
      </c>
      <c r="B10" s="1873"/>
      <c r="C10" s="1871" t="s">
        <v>455</v>
      </c>
      <c r="D10" s="1873" t="s">
        <v>1171</v>
      </c>
      <c r="E10" s="1876">
        <v>2007</v>
      </c>
      <c r="F10" s="1874">
        <v>10000</v>
      </c>
    </row>
    <row r="11" spans="1:6" ht="45" customHeight="1">
      <c r="A11" s="1875">
        <v>7</v>
      </c>
      <c r="B11" s="1873"/>
      <c r="C11" s="1871" t="s">
        <v>456</v>
      </c>
      <c r="D11" s="1873" t="s">
        <v>1171</v>
      </c>
      <c r="E11" s="1876" t="s">
        <v>457</v>
      </c>
      <c r="F11" s="1874">
        <v>30000</v>
      </c>
    </row>
    <row r="12" spans="1:6" ht="45" customHeight="1">
      <c r="A12" s="1875">
        <v>8</v>
      </c>
      <c r="B12" s="1873"/>
      <c r="C12" s="1871" t="s">
        <v>458</v>
      </c>
      <c r="D12" s="1873" t="s">
        <v>1171</v>
      </c>
      <c r="E12" s="1876" t="s">
        <v>457</v>
      </c>
      <c r="F12" s="1874">
        <v>40000</v>
      </c>
    </row>
    <row r="13" spans="1:6" ht="45" customHeight="1">
      <c r="A13" s="1875">
        <v>9</v>
      </c>
      <c r="B13" s="1873"/>
      <c r="C13" s="1871" t="s">
        <v>633</v>
      </c>
      <c r="D13" s="1873" t="s">
        <v>1171</v>
      </c>
      <c r="E13" s="1876" t="s">
        <v>457</v>
      </c>
      <c r="F13" s="1874">
        <v>13019</v>
      </c>
    </row>
    <row r="14" spans="1:6" s="1880" customFormat="1" ht="44.25" customHeight="1">
      <c r="A14" s="1877"/>
      <c r="B14" s="1878"/>
      <c r="C14" s="2022" t="s">
        <v>1177</v>
      </c>
      <c r="D14" s="2022"/>
      <c r="E14" s="2023"/>
      <c r="F14" s="1879">
        <f>SUM(F6:F13)</f>
        <v>1373019</v>
      </c>
    </row>
    <row r="15" spans="1:6" s="1870" customFormat="1" ht="15" customHeight="1">
      <c r="A15" s="1881"/>
      <c r="B15" s="1881"/>
      <c r="C15" s="1882"/>
      <c r="D15" s="1881"/>
      <c r="E15" s="1883"/>
      <c r="F15" s="1884"/>
    </row>
    <row r="16" spans="1:6" ht="55.5" customHeight="1">
      <c r="A16" s="1872">
        <v>10</v>
      </c>
      <c r="B16" s="1873"/>
      <c r="C16" s="1871" t="s">
        <v>1179</v>
      </c>
      <c r="D16" s="1873" t="s">
        <v>1178</v>
      </c>
      <c r="E16" s="1876">
        <v>2007</v>
      </c>
      <c r="F16" s="1874">
        <v>15000</v>
      </c>
    </row>
    <row r="17" spans="1:6" ht="55.5" customHeight="1">
      <c r="A17" s="1872">
        <v>11</v>
      </c>
      <c r="B17" s="1873"/>
      <c r="C17" s="1885" t="s">
        <v>921</v>
      </c>
      <c r="D17" s="1873" t="s">
        <v>1178</v>
      </c>
      <c r="E17" s="1876">
        <v>2007</v>
      </c>
      <c r="F17" s="1874">
        <v>50000</v>
      </c>
    </row>
    <row r="18" spans="1:6" s="1880" customFormat="1" ht="44.25" customHeight="1">
      <c r="A18" s="1877"/>
      <c r="B18" s="1878"/>
      <c r="C18" s="2022" t="s">
        <v>1180</v>
      </c>
      <c r="D18" s="2022"/>
      <c r="E18" s="2023"/>
      <c r="F18" s="1879">
        <f>SUM(F16:F17)</f>
        <v>65000</v>
      </c>
    </row>
    <row r="19" spans="1:6" s="1870" customFormat="1" ht="15" customHeight="1">
      <c r="A19" s="1881"/>
      <c r="B19" s="1881"/>
      <c r="C19" s="1882"/>
      <c r="D19" s="1881"/>
      <c r="E19" s="1883"/>
      <c r="F19" s="1884"/>
    </row>
    <row r="20" spans="1:6" ht="44.25" customHeight="1">
      <c r="A20" s="1872">
        <v>12</v>
      </c>
      <c r="B20" s="1873"/>
      <c r="C20" s="1882" t="s">
        <v>459</v>
      </c>
      <c r="D20" s="1873" t="s">
        <v>1181</v>
      </c>
      <c r="E20" s="1876">
        <v>2007</v>
      </c>
      <c r="F20" s="1874">
        <v>20000</v>
      </c>
    </row>
    <row r="21" spans="1:6" ht="44.25" customHeight="1">
      <c r="A21" s="1894">
        <v>13</v>
      </c>
      <c r="B21" s="1873"/>
      <c r="C21" s="1895" t="s">
        <v>460</v>
      </c>
      <c r="D21" s="1873" t="s">
        <v>1181</v>
      </c>
      <c r="E21" s="1876" t="s">
        <v>457</v>
      </c>
      <c r="F21" s="1896">
        <v>30000</v>
      </c>
    </row>
    <row r="22" spans="1:6" s="1880" customFormat="1" ht="44.25" customHeight="1">
      <c r="A22" s="1877"/>
      <c r="B22" s="1878"/>
      <c r="C22" s="2022" t="s">
        <v>1182</v>
      </c>
      <c r="D22" s="2022"/>
      <c r="E22" s="2023"/>
      <c r="F22" s="1879">
        <f>F20+F21</f>
        <v>50000</v>
      </c>
    </row>
    <row r="23" spans="1:6" s="1870" customFormat="1" ht="15" customHeight="1">
      <c r="A23" s="1881"/>
      <c r="B23" s="1881"/>
      <c r="C23" s="1882"/>
      <c r="D23" s="1881"/>
      <c r="E23" s="1883"/>
      <c r="F23" s="1884"/>
    </row>
    <row r="24" spans="1:6" ht="53.25" customHeight="1">
      <c r="A24" s="1872">
        <v>14</v>
      </c>
      <c r="B24" s="1873"/>
      <c r="C24" s="1882" t="s">
        <v>461</v>
      </c>
      <c r="D24" s="1873" t="s">
        <v>1183</v>
      </c>
      <c r="E24" s="1876">
        <v>2007</v>
      </c>
      <c r="F24" s="1874">
        <v>90000</v>
      </c>
    </row>
    <row r="25" spans="1:6" s="1870" customFormat="1" ht="15" customHeight="1">
      <c r="A25" s="1881"/>
      <c r="B25" s="1881"/>
      <c r="C25" s="1882"/>
      <c r="D25" s="1881"/>
      <c r="E25" s="1883"/>
      <c r="F25" s="1884"/>
    </row>
    <row r="26" spans="1:6" ht="53.25" customHeight="1">
      <c r="A26" s="1872">
        <v>15</v>
      </c>
      <c r="B26" s="1873"/>
      <c r="C26" s="1882" t="s">
        <v>634</v>
      </c>
      <c r="D26" s="1873" t="s">
        <v>640</v>
      </c>
      <c r="E26" s="1876">
        <v>2007</v>
      </c>
      <c r="F26" s="1874">
        <v>21265</v>
      </c>
    </row>
    <row r="27" spans="1:6" ht="53.25" customHeight="1">
      <c r="A27" s="1872">
        <v>16</v>
      </c>
      <c r="B27" s="1873"/>
      <c r="C27" s="1882" t="s">
        <v>462</v>
      </c>
      <c r="D27" s="1873" t="s">
        <v>1184</v>
      </c>
      <c r="E27" s="1876">
        <v>2007</v>
      </c>
      <c r="F27" s="1874">
        <v>10000</v>
      </c>
    </row>
    <row r="28" spans="1:6" ht="53.25" customHeight="1">
      <c r="A28" s="1872">
        <v>17</v>
      </c>
      <c r="B28" s="1873"/>
      <c r="C28" s="1882" t="s">
        <v>635</v>
      </c>
      <c r="D28" s="1873" t="s">
        <v>1184</v>
      </c>
      <c r="E28" s="1876" t="s">
        <v>642</v>
      </c>
      <c r="F28" s="1874">
        <v>315</v>
      </c>
    </row>
    <row r="29" spans="1:6" s="1880" customFormat="1" ht="44.25" customHeight="1" thickBot="1">
      <c r="A29" s="1877"/>
      <c r="B29" s="1878"/>
      <c r="C29" s="2022" t="s">
        <v>641</v>
      </c>
      <c r="D29" s="2022"/>
      <c r="E29" s="2023"/>
      <c r="F29" s="1879">
        <f>F26+F27+F28</f>
        <v>31580</v>
      </c>
    </row>
    <row r="30" spans="1:6" ht="57.75" customHeight="1" thickBot="1" thickTop="1">
      <c r="A30" s="1886"/>
      <c r="B30" s="1887"/>
      <c r="C30" s="1888" t="s">
        <v>380</v>
      </c>
      <c r="D30" s="1888"/>
      <c r="E30" s="1889"/>
      <c r="F30" s="1890">
        <f>F4+F14+F18+F22+F24+F29</f>
        <v>1614599</v>
      </c>
    </row>
    <row r="31" ht="16.5" thickTop="1"/>
    <row r="37" spans="1:6" ht="15.75">
      <c r="A37" s="1582"/>
      <c r="B37" s="1582"/>
      <c r="C37" s="1582"/>
      <c r="D37" s="1891"/>
      <c r="E37" s="1582"/>
      <c r="F37" s="1582"/>
    </row>
  </sheetData>
  <mergeCells count="5">
    <mergeCell ref="C29:E29"/>
    <mergeCell ref="A1:F1"/>
    <mergeCell ref="C14:E14"/>
    <mergeCell ref="C18:E18"/>
    <mergeCell ref="C22:E22"/>
  </mergeCells>
  <printOptions horizontalCentered="1"/>
  <pageMargins left="0.5905511811023623" right="0.3937007874015748" top="0.5905511811023623" bottom="0.2755905511811024" header="0.2362204724409449" footer="0.15748031496062992"/>
  <pageSetup fitToHeight="1" fitToWidth="1" horizontalDpi="300" verticalDpi="300" orientation="portrait" paperSize="9" scale="60" r:id="rId1"/>
  <headerFooter alignWithMargins="0">
    <oddHeader>&amp;R&amp;"Times New Roman,Kursywa"&amp;16Załącznik Nr 5 
</oddHeader>
    <oddFooter>&amp;C&amp;"Times New Roman,Normalny"&amp;14-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="90" zoomScaleNormal="90" workbookViewId="0" topLeftCell="A1">
      <selection activeCell="E6" sqref="A1:E6"/>
    </sheetView>
  </sheetViews>
  <sheetFormatPr defaultColWidth="9.00390625" defaultRowHeight="12.75"/>
  <cols>
    <col min="1" max="1" width="4.375" style="1582" customWidth="1"/>
    <col min="2" max="2" width="13.375" style="1582" customWidth="1"/>
    <col min="3" max="3" width="2.00390625" style="1582" customWidth="1"/>
    <col min="4" max="4" width="75.375" style="1582" customWidth="1"/>
    <col min="5" max="5" width="35.625" style="1582" customWidth="1"/>
    <col min="6" max="16384" width="11.375" style="1582" customWidth="1"/>
  </cols>
  <sheetData>
    <row r="1" spans="1:5" ht="69" customHeight="1">
      <c r="A1" s="2026" t="s">
        <v>429</v>
      </c>
      <c r="B1" s="2027"/>
      <c r="C1" s="2027"/>
      <c r="D1" s="2027"/>
      <c r="E1" s="2027"/>
    </row>
    <row r="2" spans="1:5" ht="15">
      <c r="A2"/>
      <c r="B2"/>
      <c r="C2"/>
      <c r="D2"/>
      <c r="E2"/>
    </row>
    <row r="3" spans="1:5" ht="80.25" customHeight="1">
      <c r="A3" s="1854" t="s">
        <v>708</v>
      </c>
      <c r="B3" s="1855" t="s">
        <v>361</v>
      </c>
      <c r="C3" s="1856"/>
      <c r="D3" s="1855" t="s">
        <v>1170</v>
      </c>
      <c r="E3" s="1857" t="s">
        <v>363</v>
      </c>
    </row>
    <row r="4" spans="1:5" ht="141.75" customHeight="1">
      <c r="A4" s="1858">
        <v>2</v>
      </c>
      <c r="B4" s="1859" t="s">
        <v>1172</v>
      </c>
      <c r="C4" s="1860"/>
      <c r="D4" s="1861" t="s">
        <v>430</v>
      </c>
      <c r="E4" s="1862">
        <v>17301</v>
      </c>
    </row>
    <row r="5" spans="1:5" ht="15">
      <c r="A5"/>
      <c r="B5"/>
      <c r="C5"/>
      <c r="D5"/>
      <c r="E5"/>
    </row>
    <row r="6" spans="1:5" ht="36" customHeight="1">
      <c r="A6"/>
      <c r="B6"/>
      <c r="C6"/>
      <c r="D6" s="1863" t="s">
        <v>367</v>
      </c>
      <c r="E6" s="1864">
        <f>+E4</f>
        <v>17301</v>
      </c>
    </row>
  </sheetData>
  <mergeCells count="1">
    <mergeCell ref="A1:E1"/>
  </mergeCells>
  <printOptions horizontalCentered="1"/>
  <pageMargins left="0.7874015748031497" right="0.7874015748031497" top="1.3779527559055118" bottom="0.984251968503937" header="0.5118110236220472" footer="0.5118110236220472"/>
  <pageSetup fitToHeight="1" fitToWidth="1" horizontalDpi="300" verticalDpi="300" orientation="portrait" paperSize="9" scale="65" r:id="rId1"/>
  <headerFooter alignWithMargins="0">
    <oddHeader>&amp;R&amp;"Times New Roman CE,Kursywa"&amp;18Załącznik Nr 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90" zoomScaleNormal="90" workbookViewId="0" topLeftCell="A1">
      <selection activeCell="H19" sqref="A1:H19"/>
    </sheetView>
  </sheetViews>
  <sheetFormatPr defaultColWidth="9.00390625" defaultRowHeight="12.75"/>
  <cols>
    <col min="1" max="1" width="4.375" style="1835" customWidth="1"/>
    <col min="2" max="2" width="12.125" style="1835" customWidth="1"/>
    <col min="3" max="3" width="32.75390625" style="1835" customWidth="1"/>
    <col min="4" max="4" width="18.25390625" style="1835" customWidth="1"/>
    <col min="5" max="5" width="17.625" style="1835" customWidth="1"/>
    <col min="6" max="6" width="20.875" style="1835" customWidth="1"/>
    <col min="7" max="7" width="16.875" style="1835" customWidth="1"/>
    <col min="8" max="8" width="18.625" style="1835" customWidth="1"/>
    <col min="9" max="16384" width="11.375" style="1835" customWidth="1"/>
  </cols>
  <sheetData>
    <row r="1" spans="1:8" ht="27.75" customHeight="1">
      <c r="A1" s="1969" t="s">
        <v>431</v>
      </c>
      <c r="B1" s="2025"/>
      <c r="C1" s="2025"/>
      <c r="D1" s="2025"/>
      <c r="E1" s="2025"/>
      <c r="F1" s="2025"/>
      <c r="G1" s="2025"/>
      <c r="H1" s="1834"/>
    </row>
    <row r="3" spans="1:8" ht="45" customHeight="1">
      <c r="A3" s="2032" t="s">
        <v>708</v>
      </c>
      <c r="B3" s="2034" t="s">
        <v>361</v>
      </c>
      <c r="C3" s="2030" t="s">
        <v>370</v>
      </c>
      <c r="D3" s="2030" t="s">
        <v>1155</v>
      </c>
      <c r="E3" s="1836" t="s">
        <v>706</v>
      </c>
      <c r="F3" s="2028" t="s">
        <v>1156</v>
      </c>
      <c r="G3" s="2030" t="s">
        <v>1157</v>
      </c>
      <c r="H3" s="1836" t="s">
        <v>706</v>
      </c>
    </row>
    <row r="4" spans="1:8" ht="27.75" customHeight="1">
      <c r="A4" s="2033"/>
      <c r="B4" s="2035"/>
      <c r="C4" s="2031"/>
      <c r="D4" s="2031"/>
      <c r="E4" s="1838" t="s">
        <v>1158</v>
      </c>
      <c r="F4" s="2029"/>
      <c r="G4" s="2031"/>
      <c r="H4" s="1839" t="s">
        <v>1159</v>
      </c>
    </row>
    <row r="5" spans="1:8" s="1844" customFormat="1" ht="64.5" customHeight="1">
      <c r="A5" s="1837">
        <v>1</v>
      </c>
      <c r="B5" s="1840" t="s">
        <v>1160</v>
      </c>
      <c r="C5" s="1841" t="s">
        <v>1161</v>
      </c>
      <c r="D5" s="1842">
        <f>751281+8000</f>
        <v>759281</v>
      </c>
      <c r="E5" s="1842">
        <f>577581+8000</f>
        <v>585581</v>
      </c>
      <c r="F5" s="1892" t="s">
        <v>433</v>
      </c>
      <c r="G5" s="1842">
        <f>D5</f>
        <v>759281</v>
      </c>
      <c r="H5" s="1842">
        <v>0</v>
      </c>
    </row>
    <row r="6" spans="1:8" s="1844" customFormat="1" ht="64.5" customHeight="1">
      <c r="A6" s="1837">
        <v>2</v>
      </c>
      <c r="B6" s="1840" t="s">
        <v>1160</v>
      </c>
      <c r="C6" s="1841" t="s">
        <v>1162</v>
      </c>
      <c r="D6" s="1842">
        <f>892600+50000</f>
        <v>942600</v>
      </c>
      <c r="E6" s="1842">
        <f>710600+50000</f>
        <v>760600</v>
      </c>
      <c r="F6" s="1892" t="s">
        <v>432</v>
      </c>
      <c r="G6" s="1842">
        <f>D6</f>
        <v>942600</v>
      </c>
      <c r="H6" s="1842">
        <v>0</v>
      </c>
    </row>
    <row r="7" spans="1:10" s="1844" customFormat="1" ht="64.5" customHeight="1">
      <c r="A7" s="1837">
        <v>3</v>
      </c>
      <c r="B7" s="1840" t="s">
        <v>1160</v>
      </c>
      <c r="C7" s="1841" t="s">
        <v>1163</v>
      </c>
      <c r="D7" s="1842">
        <f>835656+20000</f>
        <v>855656</v>
      </c>
      <c r="E7" s="1842">
        <f>633156+20000</f>
        <v>653156</v>
      </c>
      <c r="F7" s="1892" t="s">
        <v>434</v>
      </c>
      <c r="G7" s="1842">
        <f>D7-7000</f>
        <v>848656</v>
      </c>
      <c r="H7" s="1842">
        <v>0</v>
      </c>
      <c r="I7" s="1845"/>
      <c r="J7" s="1845"/>
    </row>
    <row r="8" spans="1:10" s="1844" customFormat="1" ht="64.5" customHeight="1" thickBot="1">
      <c r="A8" s="1837">
        <v>4</v>
      </c>
      <c r="B8" s="1840" t="s">
        <v>1160</v>
      </c>
      <c r="C8" s="1841" t="s">
        <v>1164</v>
      </c>
      <c r="D8" s="1842">
        <v>792663</v>
      </c>
      <c r="E8" s="1842">
        <v>628663</v>
      </c>
      <c r="F8" s="1892" t="s">
        <v>433</v>
      </c>
      <c r="G8" s="1842">
        <f>D8-7000</f>
        <v>785663</v>
      </c>
      <c r="H8" s="1842">
        <v>0</v>
      </c>
      <c r="I8" s="1845"/>
      <c r="J8" s="1845"/>
    </row>
    <row r="9" spans="1:8" s="1847" customFormat="1" ht="43.5" customHeight="1" thickBot="1" thickTop="1">
      <c r="A9" s="1799"/>
      <c r="B9" s="1800" t="s">
        <v>1165</v>
      </c>
      <c r="C9" s="1801"/>
      <c r="D9" s="1802">
        <f>SUM(D5:D8)</f>
        <v>3350200</v>
      </c>
      <c r="E9" s="1802">
        <f>SUM(E5:E8)</f>
        <v>2628000</v>
      </c>
      <c r="F9" s="1846"/>
      <c r="G9" s="1802">
        <f>SUM(G5:G8)</f>
        <v>3336200</v>
      </c>
      <c r="H9" s="1802"/>
    </row>
    <row r="10" ht="24.75" customHeight="1" thickTop="1"/>
    <row r="11" spans="1:8" ht="45" customHeight="1">
      <c r="A11" s="2032" t="s">
        <v>708</v>
      </c>
      <c r="B11" s="2034" t="s">
        <v>361</v>
      </c>
      <c r="C11" s="2030" t="s">
        <v>370</v>
      </c>
      <c r="D11" s="2030" t="s">
        <v>1155</v>
      </c>
      <c r="E11" s="1836" t="s">
        <v>706</v>
      </c>
      <c r="F11" s="2028" t="s">
        <v>1156</v>
      </c>
      <c r="G11" s="2030" t="s">
        <v>1157</v>
      </c>
      <c r="H11" s="1836" t="s">
        <v>706</v>
      </c>
    </row>
    <row r="12" spans="1:8" ht="27.75" customHeight="1">
      <c r="A12" s="2033"/>
      <c r="B12" s="2035"/>
      <c r="C12" s="2031"/>
      <c r="D12" s="2031"/>
      <c r="E12" s="1838" t="s">
        <v>1158</v>
      </c>
      <c r="F12" s="2029"/>
      <c r="G12" s="2031"/>
      <c r="H12" s="1839" t="s">
        <v>1159</v>
      </c>
    </row>
    <row r="13" spans="1:8" s="1844" customFormat="1" ht="73.5" customHeight="1">
      <c r="A13" s="1837">
        <v>1</v>
      </c>
      <c r="B13" s="1840" t="s">
        <v>1166</v>
      </c>
      <c r="C13" s="1841" t="s">
        <v>1161</v>
      </c>
      <c r="D13" s="1842">
        <v>2707</v>
      </c>
      <c r="E13" s="1842">
        <v>2707</v>
      </c>
      <c r="F13" s="1843" t="s">
        <v>435</v>
      </c>
      <c r="G13" s="1842">
        <f>D13</f>
        <v>2707</v>
      </c>
      <c r="H13" s="1842">
        <v>0</v>
      </c>
    </row>
    <row r="14" spans="1:8" s="1844" customFormat="1" ht="73.5" customHeight="1">
      <c r="A14" s="1837">
        <v>2</v>
      </c>
      <c r="B14" s="1840" t="s">
        <v>1166</v>
      </c>
      <c r="C14" s="1841" t="s">
        <v>1162</v>
      </c>
      <c r="D14" s="1842">
        <v>3228</v>
      </c>
      <c r="E14" s="1842">
        <v>3228</v>
      </c>
      <c r="F14" s="1843" t="s">
        <v>437</v>
      </c>
      <c r="G14" s="1842">
        <f>D14</f>
        <v>3228</v>
      </c>
      <c r="H14" s="1842">
        <v>0</v>
      </c>
    </row>
    <row r="15" spans="1:8" s="1844" customFormat="1" ht="73.5" customHeight="1">
      <c r="A15" s="1837">
        <v>3</v>
      </c>
      <c r="B15" s="1840" t="s">
        <v>1166</v>
      </c>
      <c r="C15" s="1841" t="s">
        <v>1163</v>
      </c>
      <c r="D15" s="1842">
        <v>2966</v>
      </c>
      <c r="E15" s="1842">
        <v>2966</v>
      </c>
      <c r="F15" s="1843" t="s">
        <v>1167</v>
      </c>
      <c r="G15" s="1842">
        <f>D15</f>
        <v>2966</v>
      </c>
      <c r="H15" s="1842">
        <v>0</v>
      </c>
    </row>
    <row r="16" spans="1:8" s="1844" customFormat="1" ht="73.5" customHeight="1" thickBot="1">
      <c r="A16" s="1837">
        <v>4</v>
      </c>
      <c r="B16" s="1840" t="s">
        <v>1166</v>
      </c>
      <c r="C16" s="1841" t="s">
        <v>1164</v>
      </c>
      <c r="D16" s="1842">
        <v>2970</v>
      </c>
      <c r="E16" s="1842">
        <v>2970</v>
      </c>
      <c r="F16" s="1843" t="s">
        <v>436</v>
      </c>
      <c r="G16" s="1842">
        <f>D16</f>
        <v>2970</v>
      </c>
      <c r="H16" s="1842">
        <v>0</v>
      </c>
    </row>
    <row r="17" spans="1:8" s="1847" customFormat="1" ht="43.5" customHeight="1" thickBot="1" thickTop="1">
      <c r="A17" s="1799"/>
      <c r="B17" s="1800" t="s">
        <v>1168</v>
      </c>
      <c r="C17" s="1801"/>
      <c r="D17" s="1802">
        <f>SUM(D13:D16)</f>
        <v>11871</v>
      </c>
      <c r="E17" s="1802">
        <f>SUM(E13:E16)</f>
        <v>11871</v>
      </c>
      <c r="F17" s="1846"/>
      <c r="G17" s="1802">
        <f>SUM(G13:G16)</f>
        <v>11871</v>
      </c>
      <c r="H17" s="1802"/>
    </row>
    <row r="18" ht="20.25" thickBot="1" thickTop="1"/>
    <row r="19" spans="1:8" s="1853" customFormat="1" ht="43.5" customHeight="1" thickBot="1" thickTop="1">
      <c r="A19" s="1848"/>
      <c r="B19" s="1849" t="s">
        <v>1169</v>
      </c>
      <c r="C19" s="1850"/>
      <c r="D19" s="1851">
        <f>D9+D17</f>
        <v>3362071</v>
      </c>
      <c r="E19" s="1851">
        <f>E9+E17</f>
        <v>2639871</v>
      </c>
      <c r="F19" s="1852"/>
      <c r="G19" s="1851">
        <f>G9+G17</f>
        <v>3348071</v>
      </c>
      <c r="H19" s="1851">
        <f>H9+H17</f>
        <v>0</v>
      </c>
    </row>
    <row r="20" ht="19.5" thickTop="1"/>
  </sheetData>
  <mergeCells count="13">
    <mergeCell ref="A3:A4"/>
    <mergeCell ref="B3:B4"/>
    <mergeCell ref="C3:C4"/>
    <mergeCell ref="A1:G1"/>
    <mergeCell ref="F3:F4"/>
    <mergeCell ref="G3:G4"/>
    <mergeCell ref="D3:D4"/>
    <mergeCell ref="F11:F12"/>
    <mergeCell ref="G11:G12"/>
    <mergeCell ref="A11:A12"/>
    <mergeCell ref="B11:B12"/>
    <mergeCell ref="C11:C12"/>
    <mergeCell ref="D11:D12"/>
  </mergeCells>
  <printOptions horizontalCentered="1"/>
  <pageMargins left="0.5905511811023623" right="0.3937007874015748" top="1.3779527559055118" bottom="0.5905511811023623" header="0.5905511811023623" footer="0.5118110236220472"/>
  <pageSetup fitToHeight="1" fitToWidth="1" horizontalDpi="300" verticalDpi="300" orientation="portrait" paperSize="9" scale="66" r:id="rId1"/>
  <headerFooter alignWithMargins="0">
    <oddHeader>&amp;R&amp;"Times New Roman CE,Kursywa"&amp;18Załącznik Nr 7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workbookViewId="0" topLeftCell="A1">
      <selection activeCell="E28" sqref="A1:E28"/>
    </sheetView>
  </sheetViews>
  <sheetFormatPr defaultColWidth="9.00390625" defaultRowHeight="12.75"/>
  <cols>
    <col min="1" max="1" width="6.875" style="1803" customWidth="1"/>
    <col min="2" max="2" width="5.375" style="1803" customWidth="1"/>
    <col min="3" max="3" width="55.875" style="1803" customWidth="1"/>
    <col min="4" max="4" width="34.75390625" style="1833" customWidth="1"/>
    <col min="5" max="5" width="21.25390625" style="1803" customWidth="1"/>
    <col min="6" max="16384" width="9.125" style="1803" customWidth="1"/>
  </cols>
  <sheetData>
    <row r="2" spans="1:5" ht="40.5" customHeight="1">
      <c r="A2" s="2036" t="s">
        <v>438</v>
      </c>
      <c r="B2" s="2037"/>
      <c r="C2" s="2037"/>
      <c r="D2" s="2037"/>
      <c r="E2" s="2037"/>
    </row>
    <row r="4" spans="1:5" ht="35.25" customHeight="1">
      <c r="A4" s="1804" t="s">
        <v>708</v>
      </c>
      <c r="B4" s="1805"/>
      <c r="C4" s="1806" t="s">
        <v>382</v>
      </c>
      <c r="D4" s="1807" t="s">
        <v>482</v>
      </c>
      <c r="E4" s="1806" t="s">
        <v>372</v>
      </c>
    </row>
    <row r="5" spans="1:5" ht="25.5" customHeight="1">
      <c r="A5" s="1808" t="s">
        <v>383</v>
      </c>
      <c r="B5" s="1809"/>
      <c r="C5" s="1810" t="s">
        <v>384</v>
      </c>
      <c r="D5" s="1811">
        <f>D6+D7</f>
        <v>96000</v>
      </c>
      <c r="E5" s="1812"/>
    </row>
    <row r="6" spans="1:5" ht="47.25" customHeight="1">
      <c r="A6" s="1813"/>
      <c r="B6" s="1803" t="s">
        <v>682</v>
      </c>
      <c r="C6" s="1814" t="s">
        <v>1143</v>
      </c>
      <c r="D6" s="1815">
        <v>95000</v>
      </c>
      <c r="E6" s="1812"/>
    </row>
    <row r="7" spans="1:5" ht="47.25" customHeight="1" thickBot="1">
      <c r="A7" s="1813"/>
      <c r="B7" s="1803" t="s">
        <v>700</v>
      </c>
      <c r="C7" s="1814" t="s">
        <v>1144</v>
      </c>
      <c r="D7" s="1815">
        <v>1000</v>
      </c>
      <c r="E7" s="1812"/>
    </row>
    <row r="8" spans="1:5" ht="46.5" customHeight="1" thickBot="1" thickTop="1">
      <c r="A8" s="1816"/>
      <c r="B8" s="1817"/>
      <c r="C8" s="1818" t="s">
        <v>1145</v>
      </c>
      <c r="D8" s="1819">
        <f>D5</f>
        <v>96000</v>
      </c>
      <c r="E8" s="1820"/>
    </row>
    <row r="9" spans="1:5" ht="24" customHeight="1" thickTop="1">
      <c r="A9" s="1821"/>
      <c r="B9" s="1821"/>
      <c r="C9" s="1821"/>
      <c r="D9" s="1822"/>
      <c r="E9" s="1821"/>
    </row>
    <row r="10" spans="1:5" ht="21" customHeight="1">
      <c r="A10" s="1821"/>
      <c r="B10" s="1821"/>
      <c r="C10" s="1821"/>
      <c r="D10" s="1822"/>
      <c r="E10" s="1821"/>
    </row>
    <row r="11" spans="1:5" ht="23.25" customHeight="1">
      <c r="A11" s="1821"/>
      <c r="B11" s="1821"/>
      <c r="C11" s="1821"/>
      <c r="D11" s="1822"/>
      <c r="E11" s="1821"/>
    </row>
    <row r="12" spans="1:5" ht="27" customHeight="1">
      <c r="A12" s="1823" t="s">
        <v>493</v>
      </c>
      <c r="B12" s="1824"/>
      <c r="C12" s="1825" t="s">
        <v>1146</v>
      </c>
      <c r="D12" s="1826">
        <f>D13+D22+D23+D24+D25+D26+D27</f>
        <v>200000</v>
      </c>
      <c r="E12" s="1827"/>
    </row>
    <row r="13" spans="1:5" ht="27" customHeight="1">
      <c r="A13" s="1808"/>
      <c r="B13" s="1828" t="s">
        <v>383</v>
      </c>
      <c r="C13" s="1810" t="s">
        <v>1147</v>
      </c>
      <c r="D13" s="1811">
        <f>SUM(D14:D21)</f>
        <v>30175</v>
      </c>
      <c r="E13" s="1812"/>
    </row>
    <row r="14" spans="1:5" ht="36" customHeight="1">
      <c r="A14" s="1813"/>
      <c r="B14" s="1803">
        <v>1</v>
      </c>
      <c r="C14" s="1814" t="s">
        <v>439</v>
      </c>
      <c r="D14" s="1815">
        <v>2000</v>
      </c>
      <c r="E14" s="1812"/>
    </row>
    <row r="15" spans="1:5" ht="57.75" customHeight="1">
      <c r="A15" s="1813"/>
      <c r="B15" s="1803">
        <v>2</v>
      </c>
      <c r="C15" s="1814" t="s">
        <v>440</v>
      </c>
      <c r="D15" s="1815">
        <v>2275</v>
      </c>
      <c r="E15" s="1812"/>
    </row>
    <row r="16" spans="1:5" ht="57.75" customHeight="1">
      <c r="A16" s="1813"/>
      <c r="B16" s="1803">
        <v>3</v>
      </c>
      <c r="C16" s="1814" t="s">
        <v>441</v>
      </c>
      <c r="D16" s="1815">
        <v>7000</v>
      </c>
      <c r="E16" s="1812"/>
    </row>
    <row r="17" spans="1:5" ht="48" customHeight="1">
      <c r="A17" s="1813"/>
      <c r="B17" s="1803">
        <v>4</v>
      </c>
      <c r="C17" s="1814" t="s">
        <v>442</v>
      </c>
      <c r="D17" s="1815">
        <v>1800</v>
      </c>
      <c r="E17" s="1812"/>
    </row>
    <row r="18" spans="1:5" ht="48" customHeight="1">
      <c r="A18" s="1813"/>
      <c r="B18" s="1803">
        <v>5</v>
      </c>
      <c r="C18" s="1814" t="s">
        <v>443</v>
      </c>
      <c r="D18" s="1815">
        <v>1500</v>
      </c>
      <c r="E18" s="1812"/>
    </row>
    <row r="19" spans="1:5" ht="48" customHeight="1">
      <c r="A19" s="1813"/>
      <c r="B19" s="1803">
        <v>6</v>
      </c>
      <c r="C19" s="1814" t="s">
        <v>444</v>
      </c>
      <c r="D19" s="1815">
        <v>2100</v>
      </c>
      <c r="E19" s="1812"/>
    </row>
    <row r="20" spans="1:5" ht="48" customHeight="1">
      <c r="A20" s="1813"/>
      <c r="B20" s="1803">
        <v>7</v>
      </c>
      <c r="C20" s="1814" t="s">
        <v>445</v>
      </c>
      <c r="D20" s="1815">
        <v>12500</v>
      </c>
      <c r="E20" s="1812"/>
    </row>
    <row r="21" spans="1:5" ht="57.75" customHeight="1">
      <c r="A21" s="1813"/>
      <c r="B21" s="1803">
        <v>8</v>
      </c>
      <c r="C21" s="1814" t="s">
        <v>1148</v>
      </c>
      <c r="D21" s="1815">
        <v>1000</v>
      </c>
      <c r="E21" s="1812"/>
    </row>
    <row r="22" spans="1:5" ht="57.75" customHeight="1">
      <c r="A22" s="1813"/>
      <c r="B22" s="1809" t="s">
        <v>446</v>
      </c>
      <c r="C22" s="1829" t="s">
        <v>447</v>
      </c>
      <c r="D22" s="1830">
        <v>3500</v>
      </c>
      <c r="E22" s="1812"/>
    </row>
    <row r="23" spans="1:5" s="1809" customFormat="1" ht="42.75" customHeight="1">
      <c r="A23" s="1808"/>
      <c r="B23" s="1809" t="s">
        <v>448</v>
      </c>
      <c r="C23" s="1829" t="s">
        <v>1149</v>
      </c>
      <c r="D23" s="1830">
        <f>50000-3000</f>
        <v>47000</v>
      </c>
      <c r="E23" s="1831"/>
    </row>
    <row r="24" spans="1:5" s="1809" customFormat="1" ht="51.75" customHeight="1">
      <c r="A24" s="1808"/>
      <c r="B24" s="1809" t="s">
        <v>449</v>
      </c>
      <c r="C24" s="1829" t="s">
        <v>1150</v>
      </c>
      <c r="D24" s="1830">
        <v>50000</v>
      </c>
      <c r="E24" s="1831"/>
    </row>
    <row r="25" spans="1:5" s="1809" customFormat="1" ht="37.5" customHeight="1">
      <c r="A25" s="1808"/>
      <c r="B25" s="1809" t="s">
        <v>450</v>
      </c>
      <c r="C25" s="1829" t="s">
        <v>1151</v>
      </c>
      <c r="D25" s="1830">
        <v>16325</v>
      </c>
      <c r="E25" s="1831"/>
    </row>
    <row r="26" spans="1:5" s="1809" customFormat="1" ht="56.25" customHeight="1">
      <c r="A26" s="1808"/>
      <c r="B26" s="1809" t="s">
        <v>451</v>
      </c>
      <c r="C26" s="1829" t="s">
        <v>1152</v>
      </c>
      <c r="D26" s="1830">
        <v>50000</v>
      </c>
      <c r="E26" s="1831"/>
    </row>
    <row r="27" spans="1:5" s="1809" customFormat="1" ht="39" customHeight="1" thickBot="1">
      <c r="A27" s="1808"/>
      <c r="B27" s="1809" t="s">
        <v>452</v>
      </c>
      <c r="C27" s="1829" t="s">
        <v>1153</v>
      </c>
      <c r="D27" s="1830">
        <v>3000</v>
      </c>
      <c r="E27" s="1831"/>
    </row>
    <row r="28" spans="1:5" ht="50.25" customHeight="1" thickBot="1" thickTop="1">
      <c r="A28" s="1816"/>
      <c r="B28" s="1817"/>
      <c r="C28" s="1893" t="s">
        <v>1154</v>
      </c>
      <c r="D28" s="1832">
        <f>D12</f>
        <v>200000</v>
      </c>
      <c r="E28" s="1820"/>
    </row>
    <row r="29" ht="16.5" thickTop="1"/>
  </sheetData>
  <mergeCells count="1">
    <mergeCell ref="A2:E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66" r:id="rId1"/>
  <headerFooter alignWithMargins="0">
    <oddHeader>&amp;R&amp;"Times New Roman,Kursywa"&amp;16Załącznik Nr 8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"/>
  <sheetViews>
    <sheetView zoomScale="90" zoomScaleNormal="90" workbookViewId="0" topLeftCell="A1">
      <selection activeCell="E8" sqref="A1:E8"/>
    </sheetView>
  </sheetViews>
  <sheetFormatPr defaultColWidth="9.00390625" defaultRowHeight="12.75"/>
  <cols>
    <col min="1" max="1" width="5.375" style="1582" customWidth="1"/>
    <col min="2" max="2" width="15.625" style="1582" customWidth="1"/>
    <col min="3" max="3" width="41.375" style="1582" customWidth="1"/>
    <col min="4" max="4" width="20.875" style="1582" customWidth="1"/>
    <col min="5" max="5" width="34.875" style="1582" customWidth="1"/>
    <col min="6" max="16384" width="11.375" style="1582" customWidth="1"/>
  </cols>
  <sheetData>
    <row r="2" spans="1:5" ht="24.75" customHeight="1">
      <c r="A2" s="2038" t="s">
        <v>381</v>
      </c>
      <c r="B2" s="1962"/>
      <c r="C2" s="1962"/>
      <c r="D2" s="1962"/>
      <c r="E2" s="1962"/>
    </row>
    <row r="3" ht="22.5" customHeight="1"/>
    <row r="4" spans="1:5" ht="45.75" customHeight="1">
      <c r="A4" s="1778" t="s">
        <v>708</v>
      </c>
      <c r="B4" s="1779" t="s">
        <v>361</v>
      </c>
      <c r="C4" s="1792" t="s">
        <v>370</v>
      </c>
      <c r="D4" s="1793" t="s">
        <v>371</v>
      </c>
      <c r="E4" s="1793" t="s">
        <v>372</v>
      </c>
    </row>
    <row r="5" spans="1:5" ht="70.5" customHeight="1">
      <c r="A5" s="1794" t="s">
        <v>682</v>
      </c>
      <c r="B5" s="1795" t="s">
        <v>373</v>
      </c>
      <c r="C5" s="1795" t="s">
        <v>374</v>
      </c>
      <c r="D5" s="1796">
        <v>547000</v>
      </c>
      <c r="E5" s="1797" t="s">
        <v>375</v>
      </c>
    </row>
    <row r="6" spans="1:5" ht="70.5" customHeight="1">
      <c r="A6" s="1794" t="s">
        <v>700</v>
      </c>
      <c r="B6" s="1795" t="s">
        <v>376</v>
      </c>
      <c r="C6" s="1795" t="s">
        <v>377</v>
      </c>
      <c r="D6" s="1796">
        <f>901432+240230</f>
        <v>1141662</v>
      </c>
      <c r="E6" s="1797" t="s">
        <v>378</v>
      </c>
    </row>
    <row r="7" spans="1:5" ht="70.5" customHeight="1" thickBot="1">
      <c r="A7" s="1794">
        <v>3</v>
      </c>
      <c r="B7" s="1798" t="s">
        <v>379</v>
      </c>
      <c r="C7" s="1795" t="s">
        <v>377</v>
      </c>
      <c r="D7" s="1796">
        <v>10000</v>
      </c>
      <c r="E7" s="1797" t="s">
        <v>378</v>
      </c>
    </row>
    <row r="8" spans="1:5" ht="48" customHeight="1" thickBot="1" thickTop="1">
      <c r="A8" s="1799"/>
      <c r="B8" s="1800" t="s">
        <v>380</v>
      </c>
      <c r="C8" s="1801"/>
      <c r="D8" s="1802">
        <f>D5+D6+D7</f>
        <v>1698662</v>
      </c>
      <c r="E8" s="1802"/>
    </row>
    <row r="9" ht="15.75" thickTop="1"/>
  </sheetData>
  <mergeCells count="1">
    <mergeCell ref="A2:E2"/>
  </mergeCells>
  <printOptions horizontalCentered="1"/>
  <pageMargins left="0.5905511811023623" right="0.3937007874015748" top="1.3779527559055118" bottom="0.5905511811023623" header="0.5118110236220472" footer="0.5118110236220472"/>
  <pageSetup fitToHeight="1" fitToWidth="1" horizontalDpi="300" verticalDpi="300" orientation="portrait" paperSize="9" scale="79" r:id="rId1"/>
  <headerFooter alignWithMargins="0">
    <oddHeader>&amp;R&amp;"Times New Roman CE,Kursywa"&amp;18Załącznik Nr 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Futa</dc:creator>
  <cp:keywords/>
  <dc:description/>
  <cp:lastModifiedBy>mariuszs</cp:lastModifiedBy>
  <cp:lastPrinted>2007-01-09T11:34:25Z</cp:lastPrinted>
  <dcterms:created xsi:type="dcterms:W3CDTF">2003-09-11T08:51:58Z</dcterms:created>
  <dcterms:modified xsi:type="dcterms:W3CDTF">2007-01-25T11:45:56Z</dcterms:modified>
  <cp:category/>
  <cp:version/>
  <cp:contentType/>
  <cp:contentStatus/>
</cp:coreProperties>
</file>